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66925"/>
  <mc:AlternateContent xmlns:mc="http://schemas.openxmlformats.org/markup-compatibility/2006">
    <mc:Choice Requires="x15">
      <x15ac:absPath xmlns:x15ac="http://schemas.microsoft.com/office/spreadsheetml/2010/11/ac" url="H:\MSDSS\Research and Reporting\Annual Reports\Finance Tables and Graphs\2023\Summary Tables\"/>
    </mc:Choice>
  </mc:AlternateContent>
  <xr:revisionPtr revIDLastSave="0" documentId="13_ncr:1_{75F5706E-4BFF-4F6A-B3F1-36D564F20D2F}" xr6:coauthVersionLast="47" xr6:coauthVersionMax="47" xr10:uidLastSave="{00000000-0000-0000-0000-000000000000}"/>
  <workbookProtection workbookAlgorithmName="SHA-512" workbookHashValue="QrUOYEEOL+JlJflNDCOQ65lJKYRBk1FwiI53jHnSoHFeIak7LSOSaEdiMXXVGsrIls3tJEaVMN9pYAzCB6wA9w==" workbookSaltValue="/SvRx1FqSTzmJGUl8kjSmg==" workbookSpinCount="100000" lockStructure="1"/>
  <bookViews>
    <workbookView xWindow="-28920" yWindow="-120" windowWidth="29040" windowHeight="15840" tabRatio="855" firstSheet="4" activeTab="4" xr2:uid="{00461C63-FF8C-4ADD-9BA8-F65DE2BA1468}"/>
  </bookViews>
  <sheets>
    <sheet name="Settings" sheetId="1" state="veryHidden" r:id="rId1"/>
    <sheet name="ref" sheetId="20" state="veryHidden" r:id="rId2"/>
    <sheet name="rawdata" sheetId="2" state="veryHidden" r:id="rId3"/>
    <sheet name="keywords" sheetId="3" state="veryHidden" r:id="rId4"/>
    <sheet name="1" sheetId="4" r:id="rId5"/>
    <sheet name="2" sheetId="5" r:id="rId6"/>
    <sheet name="3" sheetId="6" r:id="rId7"/>
    <sheet name="4" sheetId="7" r:id="rId8"/>
    <sheet name="5" sheetId="8" r:id="rId9"/>
    <sheet name="6" sheetId="9" r:id="rId10"/>
    <sheet name="7" sheetId="10" r:id="rId11"/>
    <sheet name="8" sheetId="11" r:id="rId12"/>
  </sheets>
  <definedNames>
    <definedName name="AccredType">Settings!$B$8</definedName>
    <definedName name="ContactEmail">ref!$B$11</definedName>
    <definedName name="ContactName">ref!$B$9</definedName>
    <definedName name="ContactTitle">ref!$B$10</definedName>
    <definedName name="Copyright">ref!$B$7</definedName>
    <definedName name="FYcur_N_all_note">keywords!$C$38</definedName>
    <definedName name="FYcur_N_full_note">keywords!$C$32</definedName>
    <definedName name="FYcur_N_full_pri_note">keywords!$C$50</definedName>
    <definedName name="FYcur_N_full_pub_note">keywords!$C$44</definedName>
    <definedName name="FYprev_N_all_note">keywords!$C$39</definedName>
    <definedName name="FYprev_N_full_note">keywords!$C$33</definedName>
    <definedName name="FYprev_N_full_pri_note">keywords!$C$51</definedName>
    <definedName name="FYprev_N_full_pub_note">keywords!$C$45</definedName>
    <definedName name="FYprior_N_all_note">keywords!$E$40</definedName>
    <definedName name="FYprior_N_full_note">keywords!$E$34</definedName>
    <definedName name="FYprior_N_full_pri_note">keywords!$E$52</definedName>
    <definedName name="FYprior_N_full_pub_note">keywords!$E$46</definedName>
    <definedName name="MainDIR">Settings!$B$4</definedName>
    <definedName name="N_all_note">keywords!$E$10</definedName>
    <definedName name="N_full_note">keywords!$E$5</definedName>
    <definedName name="N_full_pri_note">keywords!$E$15</definedName>
    <definedName name="N_full_pub_note">keywords!$E$14</definedName>
    <definedName name="OutputFolder">Settings!$B$5</definedName>
    <definedName name="pri_N_full_note">keywords!$C$15</definedName>
    <definedName name="_xlnm.Print_Area" localSheetId="4">'1'!$B$1:$I$34</definedName>
    <definedName name="_xlnm.Print_Area" localSheetId="5">'2'!$B$1:$J$30</definedName>
    <definedName name="_xlnm.Print_Area" localSheetId="6">'3'!$B$1:$G$25</definedName>
    <definedName name="_xlnm.Print_Area" localSheetId="11">'8'!$B$1:$I$28</definedName>
    <definedName name="pub_N_full_note">keywords!$C$14</definedName>
    <definedName name="REPfilename">Settings!$B$7</definedName>
    <definedName name="REPfilename1">Settings!$E$7</definedName>
    <definedName name="REPFY1">ref!$B$2</definedName>
    <definedName name="REPFY2">ref!$B$3</definedName>
    <definedName name="ReportDate">ref!$B$6</definedName>
    <definedName name="ReportSource">ref!$B$8</definedName>
    <definedName name="REPyear">Settings!$B$1</definedName>
    <definedName name="REPyear1">ref!$B$1</definedName>
    <definedName name="tab1_txt1_note">keywords!$C$2</definedName>
    <definedName name="tab1_txt2_note">keywords!$C$3</definedName>
    <definedName name="tab1_txt3_note">keywords!$C$4</definedName>
    <definedName name="tab1a_txt1_note">keywords!$C$7</definedName>
    <definedName name="tab1a_txt2_note">keywords!$C$8</definedName>
    <definedName name="tab1a_txt3_note">keywords!$C$9</definedName>
    <definedName name="tab2_txt1_note">keywords!$C$12</definedName>
    <definedName name="tab2_txt2_note">keywords!$C$13</definedName>
    <definedName name="tab3_txt1_note">keywords!$C$17</definedName>
    <definedName name="tab3_txt2_note">keywords!$C$18</definedName>
    <definedName name="tab3a_txt1_note">keywords!$C$20</definedName>
    <definedName name="tab3a_txt2_note">keywords!$C$21</definedName>
    <definedName name="tab4_txt1_note">keywords!$C$23</definedName>
    <definedName name="tab4_txt2_note">keywords!$C$24</definedName>
    <definedName name="tab5_txt1_note">keywords!$C$26</definedName>
    <definedName name="tab5_txt2_note">keywords!$C$27</definedName>
    <definedName name="tab6_txt1_note">keywords!$C$29</definedName>
    <definedName name="tab6_txt2_note">keywords!$C$30</definedName>
    <definedName name="tab6_txt3_note">keywords!$C$31</definedName>
    <definedName name="tab6a_txt1_note">keywords!$C$35</definedName>
    <definedName name="tab6a_txt2_note">keywords!$C$36</definedName>
    <definedName name="tab6a_txt3_note">keywords!$C$37</definedName>
    <definedName name="tab7_txt1_note">keywords!$C$41</definedName>
    <definedName name="tab7_txt2_note">keywords!$C$42</definedName>
    <definedName name="tab7_txt3_note">keywords!$C$43</definedName>
    <definedName name="tab8_txt1_note">keywords!$C$47</definedName>
    <definedName name="tab8_txt2_note">keywords!$C$48</definedName>
    <definedName name="tab8_txt3_note">keywords!$C$49</definedName>
    <definedName name="TRIG_CreateHTMLs">Settings!$L$10</definedName>
    <definedName name="TRIG_MakeReport">Settings!$L$9</definedName>
    <definedName name="TRIG_RefreshData">Settings!$L$6</definedName>
    <definedName name="TRIG_RefreshKeywords">Settings!$L$5</definedName>
    <definedName name="TRIG_UpdateData">Settings!$L$8</definedName>
    <definedName name="TRIG_UpdateKeywords">Settings!$L$7</definedName>
    <definedName name="UpdatedDate">ref!$B$12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5" l="1"/>
  <c r="B4" i="4"/>
  <c r="G5" i="11"/>
  <c r="G5" i="10"/>
  <c r="G7" i="9"/>
  <c r="B4" i="11"/>
  <c r="B4" i="10"/>
  <c r="L1" i="9"/>
  <c r="B4" i="8"/>
  <c r="B4" i="7"/>
  <c r="K1" i="6"/>
  <c r="B6" i="5"/>
  <c r="L1" i="4" l="1"/>
  <c r="B5" i="20"/>
  <c r="B4" i="20"/>
  <c r="B1" i="20"/>
  <c r="N11" i="11" l="1"/>
  <c r="N11" i="10"/>
  <c r="N13" i="9"/>
  <c r="N9" i="8"/>
  <c r="N9" i="7"/>
  <c r="U21" i="11" l="1"/>
  <c r="T21" i="11"/>
  <c r="S21" i="11"/>
  <c r="R21" i="11"/>
  <c r="Q21" i="11"/>
  <c r="U20" i="11"/>
  <c r="T20" i="11"/>
  <c r="S20" i="11"/>
  <c r="R20" i="11"/>
  <c r="Q20" i="11"/>
  <c r="U19" i="11"/>
  <c r="T19" i="11"/>
  <c r="S19" i="11"/>
  <c r="R19" i="11"/>
  <c r="Q19" i="11"/>
  <c r="U18" i="11"/>
  <c r="T18" i="11"/>
  <c r="S18" i="11"/>
  <c r="R18" i="11"/>
  <c r="Q18" i="11"/>
  <c r="U17" i="11"/>
  <c r="T17" i="11"/>
  <c r="S17" i="11"/>
  <c r="R17" i="11"/>
  <c r="Q17" i="11"/>
  <c r="U16" i="11"/>
  <c r="T16" i="11"/>
  <c r="S16" i="11"/>
  <c r="R16" i="11"/>
  <c r="Q16" i="11"/>
  <c r="U15" i="11"/>
  <c r="T15" i="11"/>
  <c r="S15" i="11"/>
  <c r="R15" i="11"/>
  <c r="Q15" i="11"/>
  <c r="U14" i="11"/>
  <c r="T14" i="11"/>
  <c r="S14" i="11"/>
  <c r="R14" i="11"/>
  <c r="Q14" i="11"/>
  <c r="U13" i="11"/>
  <c r="T13" i="11"/>
  <c r="S13" i="11"/>
  <c r="R13" i="11"/>
  <c r="Q13" i="11"/>
  <c r="U12" i="11"/>
  <c r="T12" i="11"/>
  <c r="S12" i="11"/>
  <c r="R12" i="11"/>
  <c r="Q12" i="11"/>
  <c r="U11" i="11"/>
  <c r="T11" i="11"/>
  <c r="S11" i="11"/>
  <c r="R11" i="11"/>
  <c r="Q11" i="11"/>
  <c r="U10" i="11"/>
  <c r="T10" i="11"/>
  <c r="S10" i="11"/>
  <c r="R10" i="11"/>
  <c r="Q10" i="11"/>
  <c r="U9" i="11"/>
  <c r="T9" i="11"/>
  <c r="S9" i="11"/>
  <c r="R9" i="11"/>
  <c r="Q9" i="11"/>
  <c r="U8" i="11"/>
  <c r="T8" i="11"/>
  <c r="S8" i="11"/>
  <c r="R8" i="11"/>
  <c r="Q8" i="11"/>
  <c r="U7" i="11"/>
  <c r="T7" i="11"/>
  <c r="S7" i="11"/>
  <c r="R7" i="11"/>
  <c r="Q7" i="11"/>
  <c r="P8" i="11" l="1"/>
  <c r="P9" i="11"/>
  <c r="P10" i="11"/>
  <c r="P11" i="11"/>
  <c r="P12" i="11"/>
  <c r="P13" i="11"/>
  <c r="P14" i="11"/>
  <c r="P15" i="11"/>
  <c r="P16" i="11"/>
  <c r="P17" i="11"/>
  <c r="P18" i="11"/>
  <c r="P19" i="11"/>
  <c r="P20" i="11"/>
  <c r="P21" i="11"/>
  <c r="P7" i="11"/>
  <c r="Q7" i="10"/>
  <c r="R7" i="10"/>
  <c r="S7" i="10"/>
  <c r="T7" i="10"/>
  <c r="U7" i="10"/>
  <c r="Q8" i="10"/>
  <c r="R8" i="10"/>
  <c r="S8" i="10"/>
  <c r="T8" i="10"/>
  <c r="U8" i="10"/>
  <c r="Q9" i="10"/>
  <c r="R9" i="10"/>
  <c r="S9" i="10"/>
  <c r="T9" i="10"/>
  <c r="U9" i="10"/>
  <c r="Q10" i="10"/>
  <c r="R10" i="10"/>
  <c r="S10" i="10"/>
  <c r="T10" i="10"/>
  <c r="U10" i="10"/>
  <c r="Q11" i="10"/>
  <c r="R11" i="10"/>
  <c r="S11" i="10"/>
  <c r="T11" i="10"/>
  <c r="U11" i="10"/>
  <c r="Q12" i="10"/>
  <c r="R12" i="10"/>
  <c r="S12" i="10"/>
  <c r="T12" i="10"/>
  <c r="U12" i="10"/>
  <c r="Q13" i="10"/>
  <c r="R13" i="10"/>
  <c r="S13" i="10"/>
  <c r="T13" i="10"/>
  <c r="U13" i="10"/>
  <c r="Q14" i="10"/>
  <c r="R14" i="10"/>
  <c r="S14" i="10"/>
  <c r="T14" i="10"/>
  <c r="U14" i="10"/>
  <c r="Q15" i="10"/>
  <c r="R15" i="10"/>
  <c r="S15" i="10"/>
  <c r="T15" i="10"/>
  <c r="U15" i="10"/>
  <c r="Q16" i="10"/>
  <c r="R16" i="10"/>
  <c r="S16" i="10"/>
  <c r="T16" i="10"/>
  <c r="U16" i="10"/>
  <c r="Q17" i="10"/>
  <c r="R17" i="10"/>
  <c r="S17" i="10"/>
  <c r="T17" i="10"/>
  <c r="U17" i="10"/>
  <c r="Q18" i="10"/>
  <c r="R18" i="10"/>
  <c r="S18" i="10"/>
  <c r="T18" i="10"/>
  <c r="U18" i="10"/>
  <c r="Q19" i="10"/>
  <c r="R19" i="10"/>
  <c r="S19" i="10"/>
  <c r="T19" i="10"/>
  <c r="U19" i="10"/>
  <c r="Q20" i="10"/>
  <c r="R20" i="10"/>
  <c r="S20" i="10"/>
  <c r="T20" i="10"/>
  <c r="U20" i="10"/>
  <c r="Q21" i="10"/>
  <c r="R21" i="10"/>
  <c r="S21" i="10"/>
  <c r="T21" i="10"/>
  <c r="U21" i="10"/>
  <c r="P8" i="10"/>
  <c r="P9" i="10"/>
  <c r="P10" i="10"/>
  <c r="P11" i="10"/>
  <c r="P12" i="10"/>
  <c r="P13" i="10"/>
  <c r="P14" i="10"/>
  <c r="P15" i="10"/>
  <c r="P16" i="10"/>
  <c r="P17" i="10"/>
  <c r="P18" i="10"/>
  <c r="P19" i="10"/>
  <c r="P20" i="10"/>
  <c r="P21" i="10"/>
  <c r="P7" i="10"/>
  <c r="Q9" i="9"/>
  <c r="R9" i="9"/>
  <c r="S9" i="9"/>
  <c r="T9" i="9"/>
  <c r="U9" i="9"/>
  <c r="Q10" i="9"/>
  <c r="R10" i="9"/>
  <c r="S10" i="9"/>
  <c r="T10" i="9"/>
  <c r="U10" i="9"/>
  <c r="Q11" i="9"/>
  <c r="R11" i="9"/>
  <c r="S11" i="9"/>
  <c r="T11" i="9"/>
  <c r="U11" i="9"/>
  <c r="Q12" i="9"/>
  <c r="R12" i="9"/>
  <c r="S12" i="9"/>
  <c r="T12" i="9"/>
  <c r="U12" i="9"/>
  <c r="Q13" i="9"/>
  <c r="R13" i="9"/>
  <c r="S13" i="9"/>
  <c r="T13" i="9"/>
  <c r="U13" i="9"/>
  <c r="Q14" i="9"/>
  <c r="R14" i="9"/>
  <c r="S14" i="9"/>
  <c r="T14" i="9"/>
  <c r="U14" i="9"/>
  <c r="Q15" i="9"/>
  <c r="R15" i="9"/>
  <c r="S15" i="9"/>
  <c r="T15" i="9"/>
  <c r="U15" i="9"/>
  <c r="Q16" i="9"/>
  <c r="R16" i="9"/>
  <c r="S16" i="9"/>
  <c r="T16" i="9"/>
  <c r="U16" i="9"/>
  <c r="Q17" i="9"/>
  <c r="R17" i="9"/>
  <c r="S17" i="9"/>
  <c r="T17" i="9"/>
  <c r="U17" i="9"/>
  <c r="Q18" i="9"/>
  <c r="R18" i="9"/>
  <c r="S18" i="9"/>
  <c r="T18" i="9"/>
  <c r="U18" i="9"/>
  <c r="Q19" i="9"/>
  <c r="R19" i="9"/>
  <c r="S19" i="9"/>
  <c r="T19" i="9"/>
  <c r="U19" i="9"/>
  <c r="Q20" i="9"/>
  <c r="R20" i="9"/>
  <c r="S20" i="9"/>
  <c r="T20" i="9"/>
  <c r="U20" i="9"/>
  <c r="Q21" i="9"/>
  <c r="R21" i="9"/>
  <c r="S21" i="9"/>
  <c r="T21" i="9"/>
  <c r="U21" i="9"/>
  <c r="Q22" i="9"/>
  <c r="R22" i="9"/>
  <c r="S22" i="9"/>
  <c r="T22" i="9"/>
  <c r="U22" i="9"/>
  <c r="Q23" i="9"/>
  <c r="R23" i="9"/>
  <c r="S23" i="9"/>
  <c r="T23" i="9"/>
  <c r="U23" i="9"/>
  <c r="P10" i="9"/>
  <c r="P11" i="9"/>
  <c r="P12" i="9"/>
  <c r="P13" i="9"/>
  <c r="P14" i="9"/>
  <c r="P15" i="9"/>
  <c r="P16" i="9"/>
  <c r="P17" i="9"/>
  <c r="P18" i="9"/>
  <c r="P19" i="9"/>
  <c r="P20" i="9"/>
  <c r="P21" i="9"/>
  <c r="P22" i="9"/>
  <c r="P23" i="9"/>
  <c r="P9" i="9"/>
  <c r="Q6" i="8"/>
  <c r="R6" i="8"/>
  <c r="S6" i="8"/>
  <c r="Q7" i="8"/>
  <c r="R7" i="8"/>
  <c r="S7" i="8"/>
  <c r="Q8" i="8"/>
  <c r="R8" i="8"/>
  <c r="S8" i="8"/>
  <c r="Q9" i="8"/>
  <c r="R9" i="8"/>
  <c r="S9" i="8"/>
  <c r="Q10" i="8"/>
  <c r="R10" i="8"/>
  <c r="S10" i="8"/>
  <c r="Q11" i="8"/>
  <c r="R11" i="8"/>
  <c r="S11" i="8"/>
  <c r="Q12" i="8"/>
  <c r="R12" i="8"/>
  <c r="S12" i="8"/>
  <c r="Q13" i="8"/>
  <c r="R13" i="8"/>
  <c r="S13" i="8"/>
  <c r="Q14" i="8"/>
  <c r="R14" i="8"/>
  <c r="S14" i="8"/>
  <c r="Q15" i="8"/>
  <c r="R15" i="8"/>
  <c r="S15" i="8"/>
  <c r="Q16" i="8"/>
  <c r="R16" i="8"/>
  <c r="S16" i="8"/>
  <c r="Q17" i="8"/>
  <c r="R17" i="8"/>
  <c r="S17" i="8"/>
  <c r="Q18" i="8"/>
  <c r="R18" i="8"/>
  <c r="S18" i="8"/>
  <c r="Q19" i="8"/>
  <c r="R19" i="8"/>
  <c r="S19" i="8"/>
  <c r="Q20" i="8"/>
  <c r="R20" i="8"/>
  <c r="S20" i="8"/>
  <c r="P7" i="8"/>
  <c r="P8" i="8"/>
  <c r="P9" i="8"/>
  <c r="P10" i="8"/>
  <c r="P11" i="8"/>
  <c r="P12" i="8"/>
  <c r="P13" i="8"/>
  <c r="P14" i="8"/>
  <c r="P15" i="8"/>
  <c r="P16" i="8"/>
  <c r="P17" i="8"/>
  <c r="P18" i="8"/>
  <c r="P19" i="8"/>
  <c r="P20" i="8"/>
  <c r="P6" i="8"/>
  <c r="Q6" i="7"/>
  <c r="R6" i="7"/>
  <c r="S6" i="7"/>
  <c r="Q7" i="7"/>
  <c r="R7" i="7"/>
  <c r="S7" i="7"/>
  <c r="Q8" i="7"/>
  <c r="R8" i="7"/>
  <c r="S8" i="7"/>
  <c r="Q9" i="7"/>
  <c r="R9" i="7"/>
  <c r="S9" i="7"/>
  <c r="Q10" i="7"/>
  <c r="R10" i="7"/>
  <c r="S10" i="7"/>
  <c r="Q11" i="7"/>
  <c r="R11" i="7"/>
  <c r="S11" i="7"/>
  <c r="Q12" i="7"/>
  <c r="R12" i="7"/>
  <c r="S12" i="7"/>
  <c r="Q13" i="7"/>
  <c r="R13" i="7"/>
  <c r="S13" i="7"/>
  <c r="Q14" i="7"/>
  <c r="R14" i="7"/>
  <c r="S14" i="7"/>
  <c r="Q15" i="7"/>
  <c r="R15" i="7"/>
  <c r="S15" i="7"/>
  <c r="Q16" i="7"/>
  <c r="R16" i="7"/>
  <c r="S16" i="7"/>
  <c r="Q17" i="7"/>
  <c r="R17" i="7"/>
  <c r="S17" i="7"/>
  <c r="Q18" i="7"/>
  <c r="R18" i="7"/>
  <c r="S18" i="7"/>
  <c r="Q19" i="7"/>
  <c r="R19" i="7"/>
  <c r="S19" i="7"/>
  <c r="Q20" i="7"/>
  <c r="R20" i="7"/>
  <c r="S20" i="7"/>
  <c r="P7" i="7"/>
  <c r="P8" i="7"/>
  <c r="P9" i="7"/>
  <c r="P10" i="7"/>
  <c r="P11" i="7"/>
  <c r="P12" i="7"/>
  <c r="P13" i="7"/>
  <c r="P14" i="7"/>
  <c r="P15" i="7"/>
  <c r="P16" i="7"/>
  <c r="P17" i="7"/>
  <c r="P18" i="7"/>
  <c r="P19" i="7"/>
  <c r="P20" i="7"/>
  <c r="P6" i="7"/>
  <c r="O8" i="6"/>
  <c r="P8" i="6"/>
  <c r="Q8" i="6"/>
  <c r="O9" i="6"/>
  <c r="P9" i="6"/>
  <c r="Q9" i="6"/>
  <c r="O10" i="6"/>
  <c r="P10" i="6"/>
  <c r="Q10" i="6"/>
  <c r="O11" i="6"/>
  <c r="P11" i="6"/>
  <c r="Q11" i="6"/>
  <c r="O12" i="6"/>
  <c r="P12" i="6"/>
  <c r="Q12" i="6"/>
  <c r="O13" i="6"/>
  <c r="P13" i="6"/>
  <c r="Q13" i="6"/>
  <c r="O14" i="6"/>
  <c r="P14" i="6"/>
  <c r="Q14" i="6"/>
  <c r="O15" i="6"/>
  <c r="P15" i="6"/>
  <c r="Q15" i="6"/>
  <c r="O16" i="6"/>
  <c r="P16" i="6"/>
  <c r="Q16" i="6"/>
  <c r="O17" i="6"/>
  <c r="P17" i="6"/>
  <c r="Q17" i="6"/>
  <c r="O18" i="6"/>
  <c r="P18" i="6"/>
  <c r="Q18" i="6"/>
  <c r="O19" i="6"/>
  <c r="P19" i="6"/>
  <c r="Q19" i="6"/>
  <c r="O20" i="6"/>
  <c r="P20" i="6"/>
  <c r="Q20" i="6"/>
  <c r="O21" i="6"/>
  <c r="P21" i="6"/>
  <c r="Q21" i="6"/>
  <c r="O22" i="6"/>
  <c r="P22" i="6"/>
  <c r="Q22" i="6"/>
  <c r="N9" i="6"/>
  <c r="N10" i="6"/>
  <c r="N11" i="6"/>
  <c r="N12" i="6"/>
  <c r="N13" i="6"/>
  <c r="N14" i="6"/>
  <c r="N15" i="6"/>
  <c r="N16" i="6"/>
  <c r="N17" i="6"/>
  <c r="N18" i="6"/>
  <c r="N19" i="6"/>
  <c r="N20" i="6"/>
  <c r="N21" i="6"/>
  <c r="N22" i="6"/>
  <c r="N8" i="6"/>
  <c r="N8" i="8" l="1"/>
  <c r="N13" i="5"/>
  <c r="L2" i="7" l="1"/>
  <c r="I6" i="11" l="1"/>
  <c r="F6" i="11"/>
  <c r="I6" i="10"/>
  <c r="F6" i="10"/>
  <c r="I8" i="9"/>
  <c r="F8" i="9"/>
  <c r="E5" i="8" l="1"/>
  <c r="E5" i="7"/>
  <c r="E7" i="6" l="1"/>
  <c r="B3" i="20"/>
  <c r="B2" i="20"/>
  <c r="M11" i="6"/>
  <c r="C27" i="20" l="1"/>
  <c r="C27" i="1" s="1"/>
  <c r="C28" i="20"/>
  <c r="C28" i="1" s="1"/>
  <c r="C29" i="20"/>
  <c r="C29" i="1" s="1"/>
  <c r="B6" i="20"/>
  <c r="C1" i="11" l="1"/>
  <c r="C1" i="10"/>
  <c r="C1" i="9"/>
  <c r="C26" i="20"/>
  <c r="C25" i="20"/>
  <c r="C24" i="20"/>
  <c r="C23" i="20"/>
  <c r="C22" i="20"/>
  <c r="C1" i="6" l="1"/>
  <c r="C24" i="1"/>
  <c r="C1" i="5"/>
  <c r="C23" i="1"/>
  <c r="C1" i="8"/>
  <c r="C26" i="1"/>
  <c r="C1" i="4"/>
  <c r="C22" i="1"/>
  <c r="C1" i="7"/>
  <c r="C25" i="1"/>
  <c r="B8" i="20"/>
  <c r="B7" i="20"/>
  <c r="B27" i="7" l="1"/>
  <c r="B28" i="11"/>
  <c r="B27" i="8"/>
  <c r="B30" i="9"/>
  <c r="B28" i="10"/>
  <c r="L2" i="11"/>
  <c r="L2" i="10"/>
  <c r="L2" i="9"/>
  <c r="L2" i="8"/>
  <c r="K2" i="6"/>
  <c r="L2" i="5"/>
  <c r="L2" i="4"/>
  <c r="B29" i="20" l="1"/>
  <c r="B28" i="20"/>
  <c r="B27" i="20"/>
  <c r="B26" i="20"/>
  <c r="B25" i="20"/>
  <c r="B24" i="20"/>
  <c r="B23" i="20"/>
  <c r="B22" i="20"/>
  <c r="A1" i="4" s="1"/>
  <c r="A1" i="11" l="1"/>
  <c r="A1" i="10"/>
  <c r="A1" i="9"/>
  <c r="A1" i="8"/>
  <c r="A1" i="7"/>
  <c r="A1" i="6"/>
  <c r="A1" i="5"/>
  <c r="C2" i="11"/>
  <c r="E7" i="11"/>
  <c r="F7" i="11"/>
  <c r="G7" i="11"/>
  <c r="H7" i="11"/>
  <c r="I7" i="11"/>
  <c r="E8" i="11"/>
  <c r="F8" i="11"/>
  <c r="G8" i="11"/>
  <c r="H8" i="11"/>
  <c r="I8" i="11"/>
  <c r="E9" i="11"/>
  <c r="F9" i="11"/>
  <c r="G9" i="11"/>
  <c r="H9" i="11"/>
  <c r="I9" i="11"/>
  <c r="E10" i="11"/>
  <c r="F10" i="11"/>
  <c r="G10" i="11"/>
  <c r="H10" i="11"/>
  <c r="I10" i="11"/>
  <c r="E11" i="11"/>
  <c r="F11" i="11"/>
  <c r="G11" i="11"/>
  <c r="H11" i="11"/>
  <c r="I11" i="11"/>
  <c r="E12" i="11"/>
  <c r="F12" i="11"/>
  <c r="G12" i="11"/>
  <c r="H12" i="11"/>
  <c r="I12" i="11"/>
  <c r="E13" i="11"/>
  <c r="F13" i="11"/>
  <c r="G13" i="11"/>
  <c r="H13" i="11"/>
  <c r="I13" i="11"/>
  <c r="E14" i="11"/>
  <c r="F14" i="11"/>
  <c r="G14" i="11"/>
  <c r="H14" i="11"/>
  <c r="I14" i="11"/>
  <c r="E15" i="11"/>
  <c r="F15" i="11"/>
  <c r="G15" i="11"/>
  <c r="H15" i="11"/>
  <c r="I15" i="11"/>
  <c r="E16" i="11"/>
  <c r="F16" i="11"/>
  <c r="G16" i="11"/>
  <c r="H16" i="11"/>
  <c r="I16" i="11"/>
  <c r="E17" i="11"/>
  <c r="F17" i="11"/>
  <c r="G17" i="11"/>
  <c r="H17" i="11"/>
  <c r="I17" i="11"/>
  <c r="E18" i="11"/>
  <c r="F18" i="11"/>
  <c r="G18" i="11"/>
  <c r="H18" i="11"/>
  <c r="I18" i="11"/>
  <c r="E19" i="11"/>
  <c r="F19" i="11"/>
  <c r="G19" i="11"/>
  <c r="H19" i="11"/>
  <c r="I19" i="11"/>
  <c r="E20" i="11"/>
  <c r="F20" i="11"/>
  <c r="G20" i="11"/>
  <c r="H20" i="11"/>
  <c r="I20" i="11"/>
  <c r="E21" i="11"/>
  <c r="F21" i="11"/>
  <c r="G21" i="11"/>
  <c r="H21" i="11"/>
  <c r="I21" i="11"/>
  <c r="D8" i="11"/>
  <c r="D9" i="11"/>
  <c r="D10" i="11"/>
  <c r="D11" i="11"/>
  <c r="D12" i="11"/>
  <c r="D13" i="11"/>
  <c r="D14" i="11"/>
  <c r="D15" i="11"/>
  <c r="D16" i="11"/>
  <c r="D17" i="11"/>
  <c r="D18" i="11"/>
  <c r="D19" i="11"/>
  <c r="D20" i="11"/>
  <c r="D21" i="11"/>
  <c r="D7" i="11"/>
  <c r="L8" i="11"/>
  <c r="M8" i="11" s="1"/>
  <c r="L9" i="11"/>
  <c r="M9" i="11" s="1"/>
  <c r="L10" i="11"/>
  <c r="M10" i="11" s="1"/>
  <c r="L11" i="11"/>
  <c r="M11" i="11" s="1"/>
  <c r="L12" i="11"/>
  <c r="M12" i="11" s="1"/>
  <c r="L7" i="11"/>
  <c r="M7" i="11" s="1"/>
  <c r="I7" i="10"/>
  <c r="I8" i="10"/>
  <c r="I9" i="10"/>
  <c r="I10" i="10"/>
  <c r="I11" i="10"/>
  <c r="I12" i="10"/>
  <c r="I13" i="10"/>
  <c r="I14" i="10"/>
  <c r="I15" i="10"/>
  <c r="I16" i="10"/>
  <c r="I17" i="10"/>
  <c r="I18" i="10"/>
  <c r="I19" i="10"/>
  <c r="I20" i="10"/>
  <c r="I21" i="10"/>
  <c r="E7" i="10"/>
  <c r="F7" i="10"/>
  <c r="G7" i="10"/>
  <c r="H7" i="10"/>
  <c r="E8" i="10"/>
  <c r="F8" i="10"/>
  <c r="G8" i="10"/>
  <c r="H8" i="10"/>
  <c r="E9" i="10"/>
  <c r="F9" i="10"/>
  <c r="G9" i="10"/>
  <c r="H9" i="10"/>
  <c r="E10" i="10"/>
  <c r="F10" i="10"/>
  <c r="G10" i="10"/>
  <c r="H10" i="10"/>
  <c r="E11" i="10"/>
  <c r="F11" i="10"/>
  <c r="G11" i="10"/>
  <c r="H11" i="10"/>
  <c r="E12" i="10"/>
  <c r="F12" i="10"/>
  <c r="G12" i="10"/>
  <c r="H12" i="10"/>
  <c r="E13" i="10"/>
  <c r="F13" i="10"/>
  <c r="G13" i="10"/>
  <c r="H13" i="10"/>
  <c r="E14" i="10"/>
  <c r="F14" i="10"/>
  <c r="G14" i="10"/>
  <c r="H14" i="10"/>
  <c r="E15" i="10"/>
  <c r="F15" i="10"/>
  <c r="G15" i="10"/>
  <c r="H15" i="10"/>
  <c r="E16" i="10"/>
  <c r="F16" i="10"/>
  <c r="G16" i="10"/>
  <c r="H16" i="10"/>
  <c r="E17" i="10"/>
  <c r="F17" i="10"/>
  <c r="G17" i="10"/>
  <c r="H17" i="10"/>
  <c r="E18" i="10"/>
  <c r="F18" i="10"/>
  <c r="G18" i="10"/>
  <c r="H18" i="10"/>
  <c r="E19" i="10"/>
  <c r="F19" i="10"/>
  <c r="G19" i="10"/>
  <c r="H19" i="10"/>
  <c r="E20" i="10"/>
  <c r="F20" i="10"/>
  <c r="G20" i="10"/>
  <c r="H20" i="10"/>
  <c r="E21" i="10"/>
  <c r="F21" i="10"/>
  <c r="G21" i="10"/>
  <c r="H21" i="10"/>
  <c r="D8" i="10"/>
  <c r="D9" i="10"/>
  <c r="D10" i="10"/>
  <c r="D11" i="10"/>
  <c r="D12" i="10"/>
  <c r="D13" i="10"/>
  <c r="D14" i="10"/>
  <c r="D15" i="10"/>
  <c r="D16" i="10"/>
  <c r="D17" i="10"/>
  <c r="D18" i="10"/>
  <c r="D19" i="10"/>
  <c r="D20" i="10"/>
  <c r="D21" i="10"/>
  <c r="D7" i="10"/>
  <c r="L8" i="10"/>
  <c r="M8" i="10" s="1"/>
  <c r="L9" i="10"/>
  <c r="M9" i="10" s="1"/>
  <c r="L10" i="10"/>
  <c r="M10" i="10" s="1"/>
  <c r="L11" i="10"/>
  <c r="M11" i="10" s="1"/>
  <c r="L12" i="10"/>
  <c r="M12" i="10" s="1"/>
  <c r="L7" i="10"/>
  <c r="M7" i="10" s="1"/>
  <c r="E9" i="9"/>
  <c r="F9" i="9"/>
  <c r="G9" i="9"/>
  <c r="H9" i="9"/>
  <c r="I9" i="9"/>
  <c r="E10" i="9"/>
  <c r="F10" i="9"/>
  <c r="G10" i="9"/>
  <c r="H10" i="9"/>
  <c r="I10" i="9"/>
  <c r="E11" i="9"/>
  <c r="F11" i="9"/>
  <c r="G11" i="9"/>
  <c r="H11" i="9"/>
  <c r="I11" i="9"/>
  <c r="E12" i="9"/>
  <c r="F12" i="9"/>
  <c r="G12" i="9"/>
  <c r="H12" i="9"/>
  <c r="I12" i="9"/>
  <c r="E13" i="9"/>
  <c r="F13" i="9"/>
  <c r="G13" i="9"/>
  <c r="H13" i="9"/>
  <c r="I13" i="9"/>
  <c r="E14" i="9"/>
  <c r="F14" i="9"/>
  <c r="G14" i="9"/>
  <c r="H14" i="9"/>
  <c r="I14" i="9"/>
  <c r="E15" i="9"/>
  <c r="F15" i="9"/>
  <c r="G15" i="9"/>
  <c r="H15" i="9"/>
  <c r="I15" i="9"/>
  <c r="E16" i="9"/>
  <c r="F16" i="9"/>
  <c r="G16" i="9"/>
  <c r="H16" i="9"/>
  <c r="I16" i="9"/>
  <c r="E17" i="9"/>
  <c r="F17" i="9"/>
  <c r="G17" i="9"/>
  <c r="H17" i="9"/>
  <c r="I17" i="9"/>
  <c r="E18" i="9"/>
  <c r="F18" i="9"/>
  <c r="G18" i="9"/>
  <c r="H18" i="9"/>
  <c r="I18" i="9"/>
  <c r="E19" i="9"/>
  <c r="F19" i="9"/>
  <c r="G19" i="9"/>
  <c r="H19" i="9"/>
  <c r="I19" i="9"/>
  <c r="E20" i="9"/>
  <c r="F20" i="9"/>
  <c r="G20" i="9"/>
  <c r="H20" i="9"/>
  <c r="I20" i="9"/>
  <c r="E21" i="9"/>
  <c r="F21" i="9"/>
  <c r="G21" i="9"/>
  <c r="H21" i="9"/>
  <c r="I21" i="9"/>
  <c r="E22" i="9"/>
  <c r="F22" i="9"/>
  <c r="G22" i="9"/>
  <c r="H22" i="9"/>
  <c r="I22" i="9"/>
  <c r="E23" i="9"/>
  <c r="F23" i="9"/>
  <c r="G23" i="9"/>
  <c r="H23" i="9"/>
  <c r="I23" i="9"/>
  <c r="D10" i="9"/>
  <c r="D11" i="9"/>
  <c r="D12" i="9"/>
  <c r="D13" i="9"/>
  <c r="D14" i="9"/>
  <c r="D15" i="9"/>
  <c r="D16" i="9"/>
  <c r="D17" i="9"/>
  <c r="D18" i="9"/>
  <c r="D19" i="9"/>
  <c r="D20" i="9"/>
  <c r="D21" i="9"/>
  <c r="D22" i="9"/>
  <c r="D23" i="9"/>
  <c r="D9" i="9"/>
  <c r="L10" i="9"/>
  <c r="M10" i="9" s="1"/>
  <c r="L11" i="9"/>
  <c r="M11" i="9" s="1"/>
  <c r="L12" i="9"/>
  <c r="M12" i="9" s="1"/>
  <c r="L13" i="9"/>
  <c r="M13" i="9" s="1"/>
  <c r="L14" i="9"/>
  <c r="M14" i="9" s="1"/>
  <c r="L9" i="9"/>
  <c r="M9" i="9" s="1"/>
  <c r="E6" i="8"/>
  <c r="F6" i="8"/>
  <c r="G6" i="8"/>
  <c r="E7" i="8"/>
  <c r="F7" i="8"/>
  <c r="G7" i="8"/>
  <c r="E8" i="8"/>
  <c r="F8" i="8"/>
  <c r="G8" i="8"/>
  <c r="E9" i="8"/>
  <c r="F9" i="8"/>
  <c r="G9" i="8"/>
  <c r="E10" i="8"/>
  <c r="F10" i="8"/>
  <c r="G10" i="8"/>
  <c r="E11" i="8"/>
  <c r="F11" i="8"/>
  <c r="G11" i="8"/>
  <c r="E12" i="8"/>
  <c r="F12" i="8"/>
  <c r="G12" i="8"/>
  <c r="E13" i="8"/>
  <c r="F13" i="8"/>
  <c r="G13" i="8"/>
  <c r="E14" i="8"/>
  <c r="F14" i="8"/>
  <c r="G14" i="8"/>
  <c r="E15" i="8"/>
  <c r="F15" i="8"/>
  <c r="G15" i="8"/>
  <c r="E16" i="8"/>
  <c r="F16" i="8"/>
  <c r="G16" i="8"/>
  <c r="E17" i="8"/>
  <c r="F17" i="8"/>
  <c r="G17" i="8"/>
  <c r="E18" i="8"/>
  <c r="F18" i="8"/>
  <c r="G18" i="8"/>
  <c r="E19" i="8"/>
  <c r="F19" i="8"/>
  <c r="G19" i="8"/>
  <c r="E20" i="8"/>
  <c r="F20" i="8"/>
  <c r="G20" i="8"/>
  <c r="D7" i="8"/>
  <c r="D8" i="8"/>
  <c r="D9" i="8"/>
  <c r="D10" i="8"/>
  <c r="D11" i="8"/>
  <c r="D12" i="8"/>
  <c r="D13" i="8"/>
  <c r="D14" i="8"/>
  <c r="D15" i="8"/>
  <c r="D16" i="8"/>
  <c r="D17" i="8"/>
  <c r="D18" i="8"/>
  <c r="D19" i="8"/>
  <c r="D20" i="8"/>
  <c r="D6" i="8"/>
  <c r="L7" i="8"/>
  <c r="M7" i="8" s="1"/>
  <c r="L8" i="8"/>
  <c r="M8" i="8" s="1"/>
  <c r="B23" i="8" s="1"/>
  <c r="L6" i="8"/>
  <c r="M6" i="8" s="1"/>
  <c r="E6" i="7"/>
  <c r="F6" i="7"/>
  <c r="G6" i="7"/>
  <c r="E7" i="7"/>
  <c r="F7" i="7"/>
  <c r="G7" i="7"/>
  <c r="E8" i="7"/>
  <c r="F8" i="7"/>
  <c r="G8" i="7"/>
  <c r="E9" i="7"/>
  <c r="F9" i="7"/>
  <c r="G9" i="7"/>
  <c r="E10" i="7"/>
  <c r="F10" i="7"/>
  <c r="G10" i="7"/>
  <c r="E11" i="7"/>
  <c r="F11" i="7"/>
  <c r="G11" i="7"/>
  <c r="E12" i="7"/>
  <c r="F12" i="7"/>
  <c r="G12" i="7"/>
  <c r="E13" i="7"/>
  <c r="F13" i="7"/>
  <c r="G13" i="7"/>
  <c r="E14" i="7"/>
  <c r="F14" i="7"/>
  <c r="G14" i="7"/>
  <c r="E15" i="7"/>
  <c r="F15" i="7"/>
  <c r="G15" i="7"/>
  <c r="E16" i="7"/>
  <c r="F16" i="7"/>
  <c r="G16" i="7"/>
  <c r="E17" i="7"/>
  <c r="F17" i="7"/>
  <c r="G17" i="7"/>
  <c r="E18" i="7"/>
  <c r="F18" i="7"/>
  <c r="G18" i="7"/>
  <c r="E19" i="7"/>
  <c r="F19" i="7"/>
  <c r="G19" i="7"/>
  <c r="E20" i="7"/>
  <c r="F20" i="7"/>
  <c r="G20" i="7"/>
  <c r="D7" i="7"/>
  <c r="D8" i="7"/>
  <c r="D9" i="7"/>
  <c r="D10" i="7"/>
  <c r="D11" i="7"/>
  <c r="D12" i="7"/>
  <c r="D13" i="7"/>
  <c r="D14" i="7"/>
  <c r="D15" i="7"/>
  <c r="D16" i="7"/>
  <c r="D17" i="7"/>
  <c r="D18" i="7"/>
  <c r="D19" i="7"/>
  <c r="D20" i="7"/>
  <c r="D6" i="7"/>
  <c r="L7" i="7"/>
  <c r="M7" i="7" s="1"/>
  <c r="L8" i="7"/>
  <c r="M8" i="7" s="1"/>
  <c r="L6" i="7"/>
  <c r="M6" i="7" s="1"/>
  <c r="E8" i="6"/>
  <c r="F8" i="6"/>
  <c r="G8" i="6"/>
  <c r="E9" i="6"/>
  <c r="F9" i="6"/>
  <c r="G9" i="6"/>
  <c r="E10" i="6"/>
  <c r="F10" i="6"/>
  <c r="G10" i="6"/>
  <c r="E11" i="6"/>
  <c r="F11" i="6"/>
  <c r="G11" i="6"/>
  <c r="E12" i="6"/>
  <c r="F12" i="6"/>
  <c r="G12" i="6"/>
  <c r="E13" i="6"/>
  <c r="F13" i="6"/>
  <c r="G13" i="6"/>
  <c r="E14" i="6"/>
  <c r="F14" i="6"/>
  <c r="G14" i="6"/>
  <c r="E15" i="6"/>
  <c r="F15" i="6"/>
  <c r="G15" i="6"/>
  <c r="E16" i="6"/>
  <c r="F16" i="6"/>
  <c r="G16" i="6"/>
  <c r="E17" i="6"/>
  <c r="F17" i="6"/>
  <c r="G17" i="6"/>
  <c r="E18" i="6"/>
  <c r="F18" i="6"/>
  <c r="G18" i="6"/>
  <c r="E19" i="6"/>
  <c r="F19" i="6"/>
  <c r="G19" i="6"/>
  <c r="E20" i="6"/>
  <c r="F20" i="6"/>
  <c r="G20" i="6"/>
  <c r="E21" i="6"/>
  <c r="F21" i="6"/>
  <c r="G21" i="6"/>
  <c r="E22" i="6"/>
  <c r="F22" i="6"/>
  <c r="G22" i="6"/>
  <c r="D9" i="6"/>
  <c r="D10" i="6"/>
  <c r="D11" i="6"/>
  <c r="D12" i="6"/>
  <c r="D13" i="6"/>
  <c r="D14" i="6"/>
  <c r="D15" i="6"/>
  <c r="D16" i="6"/>
  <c r="D17" i="6"/>
  <c r="D18" i="6"/>
  <c r="D19" i="6"/>
  <c r="D20" i="6"/>
  <c r="D21" i="6"/>
  <c r="D22" i="6"/>
  <c r="D8" i="6"/>
  <c r="K9" i="6"/>
  <c r="L9" i="6" s="1"/>
  <c r="K10" i="6"/>
  <c r="L10" i="6" s="1"/>
  <c r="K8" i="6"/>
  <c r="L8" i="6" s="1"/>
  <c r="U9" i="5"/>
  <c r="I9" i="5" s="1"/>
  <c r="U10" i="5"/>
  <c r="I10" i="5" s="1"/>
  <c r="U11" i="5"/>
  <c r="I11" i="5" s="1"/>
  <c r="U12" i="5"/>
  <c r="I12" i="5" s="1"/>
  <c r="U13" i="5"/>
  <c r="I13" i="5" s="1"/>
  <c r="U14" i="5"/>
  <c r="I14" i="5" s="1"/>
  <c r="U15" i="5"/>
  <c r="I15" i="5" s="1"/>
  <c r="U16" i="5"/>
  <c r="I16" i="5" s="1"/>
  <c r="U17" i="5"/>
  <c r="I17" i="5" s="1"/>
  <c r="U18" i="5"/>
  <c r="I18" i="5" s="1"/>
  <c r="U19" i="5"/>
  <c r="I19" i="5" s="1"/>
  <c r="U20" i="5"/>
  <c r="I20" i="5" s="1"/>
  <c r="U21" i="5"/>
  <c r="I21" i="5" s="1"/>
  <c r="U22" i="5"/>
  <c r="I22" i="5" s="1"/>
  <c r="U23" i="5"/>
  <c r="I23" i="5" s="1"/>
  <c r="Q9" i="5"/>
  <c r="E9" i="5" s="1"/>
  <c r="R9" i="5"/>
  <c r="F9" i="5" s="1"/>
  <c r="S9" i="5"/>
  <c r="G9" i="5" s="1"/>
  <c r="T9" i="5"/>
  <c r="H9" i="5" s="1"/>
  <c r="Q10" i="5"/>
  <c r="E10" i="5" s="1"/>
  <c r="R10" i="5"/>
  <c r="F10" i="5" s="1"/>
  <c r="S10" i="5"/>
  <c r="G10" i="5" s="1"/>
  <c r="T10" i="5"/>
  <c r="H10" i="5" s="1"/>
  <c r="Q11" i="5"/>
  <c r="E11" i="5" s="1"/>
  <c r="R11" i="5"/>
  <c r="F11" i="5" s="1"/>
  <c r="S11" i="5"/>
  <c r="G11" i="5" s="1"/>
  <c r="T11" i="5"/>
  <c r="H11" i="5" s="1"/>
  <c r="Q12" i="5"/>
  <c r="E12" i="5" s="1"/>
  <c r="R12" i="5"/>
  <c r="F12" i="5" s="1"/>
  <c r="S12" i="5"/>
  <c r="G12" i="5" s="1"/>
  <c r="T12" i="5"/>
  <c r="H12" i="5" s="1"/>
  <c r="Q13" i="5"/>
  <c r="E13" i="5" s="1"/>
  <c r="R13" i="5"/>
  <c r="F13" i="5" s="1"/>
  <c r="S13" i="5"/>
  <c r="G13" i="5" s="1"/>
  <c r="T13" i="5"/>
  <c r="H13" i="5" s="1"/>
  <c r="Q14" i="5"/>
  <c r="E14" i="5" s="1"/>
  <c r="R14" i="5"/>
  <c r="F14" i="5" s="1"/>
  <c r="S14" i="5"/>
  <c r="G14" i="5" s="1"/>
  <c r="T14" i="5"/>
  <c r="H14" i="5" s="1"/>
  <c r="Q15" i="5"/>
  <c r="E15" i="5" s="1"/>
  <c r="R15" i="5"/>
  <c r="F15" i="5" s="1"/>
  <c r="S15" i="5"/>
  <c r="G15" i="5" s="1"/>
  <c r="T15" i="5"/>
  <c r="H15" i="5" s="1"/>
  <c r="Q16" i="5"/>
  <c r="E16" i="5" s="1"/>
  <c r="R16" i="5"/>
  <c r="F16" i="5" s="1"/>
  <c r="S16" i="5"/>
  <c r="G16" i="5" s="1"/>
  <c r="T16" i="5"/>
  <c r="H16" i="5" s="1"/>
  <c r="Q17" i="5"/>
  <c r="E17" i="5" s="1"/>
  <c r="R17" i="5"/>
  <c r="F17" i="5" s="1"/>
  <c r="S17" i="5"/>
  <c r="G17" i="5" s="1"/>
  <c r="T17" i="5"/>
  <c r="H17" i="5" s="1"/>
  <c r="Q18" i="5"/>
  <c r="E18" i="5" s="1"/>
  <c r="R18" i="5"/>
  <c r="F18" i="5" s="1"/>
  <c r="S18" i="5"/>
  <c r="G18" i="5" s="1"/>
  <c r="T18" i="5"/>
  <c r="H18" i="5" s="1"/>
  <c r="Q19" i="5"/>
  <c r="E19" i="5" s="1"/>
  <c r="R19" i="5"/>
  <c r="F19" i="5" s="1"/>
  <c r="S19" i="5"/>
  <c r="G19" i="5" s="1"/>
  <c r="T19" i="5"/>
  <c r="H19" i="5" s="1"/>
  <c r="Q20" i="5"/>
  <c r="E20" i="5" s="1"/>
  <c r="R20" i="5"/>
  <c r="F20" i="5" s="1"/>
  <c r="S20" i="5"/>
  <c r="G20" i="5" s="1"/>
  <c r="T20" i="5"/>
  <c r="H20" i="5" s="1"/>
  <c r="Q21" i="5"/>
  <c r="E21" i="5" s="1"/>
  <c r="R21" i="5"/>
  <c r="F21" i="5" s="1"/>
  <c r="S21" i="5"/>
  <c r="G21" i="5" s="1"/>
  <c r="T21" i="5"/>
  <c r="H21" i="5" s="1"/>
  <c r="Q22" i="5"/>
  <c r="E22" i="5" s="1"/>
  <c r="R22" i="5"/>
  <c r="F22" i="5" s="1"/>
  <c r="S22" i="5"/>
  <c r="G22" i="5" s="1"/>
  <c r="T22" i="5"/>
  <c r="H22" i="5" s="1"/>
  <c r="Q23" i="5"/>
  <c r="E23" i="5" s="1"/>
  <c r="R23" i="5"/>
  <c r="F23" i="5" s="1"/>
  <c r="S23" i="5"/>
  <c r="G23" i="5" s="1"/>
  <c r="T23" i="5"/>
  <c r="H23" i="5" s="1"/>
  <c r="P10" i="5"/>
  <c r="D10" i="5" s="1"/>
  <c r="P11" i="5"/>
  <c r="D11" i="5" s="1"/>
  <c r="P12" i="5"/>
  <c r="D12" i="5" s="1"/>
  <c r="P13" i="5"/>
  <c r="D13" i="5" s="1"/>
  <c r="P14" i="5"/>
  <c r="D14" i="5" s="1"/>
  <c r="P15" i="5"/>
  <c r="D15" i="5" s="1"/>
  <c r="P16" i="5"/>
  <c r="D16" i="5" s="1"/>
  <c r="P17" i="5"/>
  <c r="D17" i="5" s="1"/>
  <c r="P18" i="5"/>
  <c r="D18" i="5" s="1"/>
  <c r="P19" i="5"/>
  <c r="D19" i="5" s="1"/>
  <c r="P20" i="5"/>
  <c r="D20" i="5" s="1"/>
  <c r="P21" i="5"/>
  <c r="D21" i="5" s="1"/>
  <c r="P22" i="5"/>
  <c r="D22" i="5" s="1"/>
  <c r="P23" i="5"/>
  <c r="D23" i="5" s="1"/>
  <c r="P9" i="5"/>
  <c r="D9" i="5" s="1"/>
  <c r="L10" i="5"/>
  <c r="M10" i="5" s="1"/>
  <c r="L11" i="5"/>
  <c r="M11" i="5" s="1"/>
  <c r="N9" i="5" s="1"/>
  <c r="L12" i="5"/>
  <c r="M12" i="5" s="1"/>
  <c r="N10" i="5" s="1"/>
  <c r="L13" i="5"/>
  <c r="M13" i="5" s="1"/>
  <c r="B26" i="5" s="1"/>
  <c r="L9" i="5"/>
  <c r="M9" i="5" s="1"/>
  <c r="B25" i="5" l="1"/>
  <c r="B25" i="9"/>
  <c r="B24" i="6"/>
  <c r="B23" i="11"/>
  <c r="B22" i="8"/>
  <c r="B22" i="7"/>
  <c r="B23" i="10"/>
  <c r="Q13" i="4"/>
  <c r="E13" i="4" s="1"/>
  <c r="R13" i="4"/>
  <c r="F13" i="4" s="1"/>
  <c r="S13" i="4"/>
  <c r="G13" i="4" s="1"/>
  <c r="T13" i="4"/>
  <c r="H13" i="4" s="1"/>
  <c r="U13" i="4"/>
  <c r="I13" i="4" s="1"/>
  <c r="Q14" i="4"/>
  <c r="E14" i="4" s="1"/>
  <c r="R14" i="4"/>
  <c r="F14" i="4" s="1"/>
  <c r="S14" i="4"/>
  <c r="G14" i="4" s="1"/>
  <c r="T14" i="4"/>
  <c r="H14" i="4" s="1"/>
  <c r="U14" i="4"/>
  <c r="I14" i="4" s="1"/>
  <c r="Q15" i="4"/>
  <c r="E15" i="4" s="1"/>
  <c r="R15" i="4"/>
  <c r="F15" i="4" s="1"/>
  <c r="S15" i="4"/>
  <c r="G15" i="4" s="1"/>
  <c r="T15" i="4"/>
  <c r="H15" i="4" s="1"/>
  <c r="U15" i="4"/>
  <c r="I15" i="4" s="1"/>
  <c r="Q16" i="4"/>
  <c r="E16" i="4" s="1"/>
  <c r="R16" i="4"/>
  <c r="F16" i="4" s="1"/>
  <c r="S16" i="4"/>
  <c r="G16" i="4" s="1"/>
  <c r="T16" i="4"/>
  <c r="H16" i="4" s="1"/>
  <c r="U16" i="4"/>
  <c r="I16" i="4" s="1"/>
  <c r="Q17" i="4"/>
  <c r="E17" i="4" s="1"/>
  <c r="R17" i="4"/>
  <c r="F17" i="4" s="1"/>
  <c r="S17" i="4"/>
  <c r="G17" i="4" s="1"/>
  <c r="T17" i="4"/>
  <c r="H17" i="4" s="1"/>
  <c r="U17" i="4"/>
  <c r="I17" i="4" s="1"/>
  <c r="Q18" i="4"/>
  <c r="E18" i="4" s="1"/>
  <c r="R18" i="4"/>
  <c r="F18" i="4" s="1"/>
  <c r="S18" i="4"/>
  <c r="G18" i="4" s="1"/>
  <c r="T18" i="4"/>
  <c r="H18" i="4" s="1"/>
  <c r="U18" i="4"/>
  <c r="I18" i="4" s="1"/>
  <c r="Q19" i="4"/>
  <c r="E19" i="4" s="1"/>
  <c r="R19" i="4"/>
  <c r="F19" i="4" s="1"/>
  <c r="S19" i="4"/>
  <c r="G19" i="4" s="1"/>
  <c r="T19" i="4"/>
  <c r="H19" i="4" s="1"/>
  <c r="U19" i="4"/>
  <c r="I19" i="4" s="1"/>
  <c r="Q20" i="4"/>
  <c r="E20" i="4" s="1"/>
  <c r="R20" i="4"/>
  <c r="F20" i="4" s="1"/>
  <c r="S20" i="4"/>
  <c r="G20" i="4" s="1"/>
  <c r="T20" i="4"/>
  <c r="H20" i="4" s="1"/>
  <c r="U20" i="4"/>
  <c r="I20" i="4" s="1"/>
  <c r="Q21" i="4"/>
  <c r="E21" i="4" s="1"/>
  <c r="R21" i="4"/>
  <c r="F21" i="4" s="1"/>
  <c r="S21" i="4"/>
  <c r="G21" i="4" s="1"/>
  <c r="T21" i="4"/>
  <c r="H21" i="4" s="1"/>
  <c r="U21" i="4"/>
  <c r="I21" i="4" s="1"/>
  <c r="Q22" i="4"/>
  <c r="E22" i="4" s="1"/>
  <c r="R22" i="4"/>
  <c r="F22" i="4" s="1"/>
  <c r="S22" i="4"/>
  <c r="G22" i="4" s="1"/>
  <c r="T22" i="4"/>
  <c r="H22" i="4" s="1"/>
  <c r="U22" i="4"/>
  <c r="I22" i="4" s="1"/>
  <c r="Q23" i="4"/>
  <c r="E23" i="4" s="1"/>
  <c r="R23" i="4"/>
  <c r="F23" i="4" s="1"/>
  <c r="S23" i="4"/>
  <c r="G23" i="4" s="1"/>
  <c r="T23" i="4"/>
  <c r="H23" i="4" s="1"/>
  <c r="U23" i="4"/>
  <c r="I23" i="4" s="1"/>
  <c r="Q24" i="4"/>
  <c r="E24" i="4" s="1"/>
  <c r="R24" i="4"/>
  <c r="F24" i="4" s="1"/>
  <c r="S24" i="4"/>
  <c r="G24" i="4" s="1"/>
  <c r="T24" i="4"/>
  <c r="H24" i="4" s="1"/>
  <c r="U24" i="4"/>
  <c r="I24" i="4" s="1"/>
  <c r="Q25" i="4"/>
  <c r="E25" i="4" s="1"/>
  <c r="R25" i="4"/>
  <c r="F25" i="4" s="1"/>
  <c r="S25" i="4"/>
  <c r="G25" i="4" s="1"/>
  <c r="T25" i="4"/>
  <c r="H25" i="4" s="1"/>
  <c r="U25" i="4"/>
  <c r="I25" i="4" s="1"/>
  <c r="Q26" i="4"/>
  <c r="E26" i="4" s="1"/>
  <c r="R26" i="4"/>
  <c r="F26" i="4" s="1"/>
  <c r="S26" i="4"/>
  <c r="G26" i="4" s="1"/>
  <c r="T26" i="4"/>
  <c r="H26" i="4" s="1"/>
  <c r="U26" i="4"/>
  <c r="I26" i="4" s="1"/>
  <c r="Q27" i="4"/>
  <c r="E27" i="4" s="1"/>
  <c r="R27" i="4"/>
  <c r="F27" i="4" s="1"/>
  <c r="S27" i="4"/>
  <c r="G27" i="4" s="1"/>
  <c r="T27" i="4"/>
  <c r="H27" i="4" s="1"/>
  <c r="U27" i="4"/>
  <c r="I27" i="4" s="1"/>
  <c r="P14" i="4"/>
  <c r="D14" i="4" s="1"/>
  <c r="P15" i="4"/>
  <c r="D15" i="4" s="1"/>
  <c r="P16" i="4"/>
  <c r="D16" i="4" s="1"/>
  <c r="P17" i="4"/>
  <c r="D17" i="4" s="1"/>
  <c r="P18" i="4"/>
  <c r="D18" i="4" s="1"/>
  <c r="P19" i="4"/>
  <c r="D19" i="4" s="1"/>
  <c r="P20" i="4"/>
  <c r="D20" i="4" s="1"/>
  <c r="P21" i="4"/>
  <c r="D21" i="4" s="1"/>
  <c r="P22" i="4"/>
  <c r="D22" i="4" s="1"/>
  <c r="P23" i="4"/>
  <c r="D23" i="4" s="1"/>
  <c r="P24" i="4"/>
  <c r="D24" i="4" s="1"/>
  <c r="P25" i="4"/>
  <c r="D25" i="4" s="1"/>
  <c r="P26" i="4"/>
  <c r="D26" i="4" s="1"/>
  <c r="P27" i="4"/>
  <c r="D27" i="4" s="1"/>
  <c r="P13" i="4"/>
  <c r="D13" i="4" s="1"/>
  <c r="L14" i="4"/>
  <c r="M14" i="4" s="1"/>
  <c r="L15" i="4"/>
  <c r="M15" i="4" s="1"/>
  <c r="L16" i="4"/>
  <c r="M16" i="4" s="1"/>
  <c r="L17" i="4"/>
  <c r="M17" i="4" s="1"/>
  <c r="L13" i="4"/>
  <c r="M13" i="4" s="1"/>
  <c r="E52" i="3" l="1"/>
  <c r="E46" i="3"/>
  <c r="E40" i="3"/>
  <c r="E34" i="3"/>
  <c r="E15" i="3"/>
  <c r="E14" i="3"/>
  <c r="E10" i="3"/>
  <c r="E5" i="3"/>
  <c r="E7" i="1" l="1"/>
  <c r="N10" i="11" l="1"/>
  <c r="B24" i="11" s="1"/>
  <c r="N10" i="10"/>
  <c r="B24" i="10" s="1"/>
  <c r="N12" i="9"/>
  <c r="B26" i="9" s="1"/>
  <c r="N8" i="7"/>
  <c r="B23" i="7" s="1"/>
  <c r="M10" i="6"/>
  <c r="B25" i="6" s="1"/>
  <c r="N16" i="4"/>
  <c r="B6" i="4" s="1"/>
  <c r="B30" i="4" l="1"/>
  <c r="B29" i="4"/>
  <c r="D7" i="5" l="1"/>
  <c r="B6" i="1" l="1"/>
  <c r="B3" i="1"/>
  <c r="B2" i="1"/>
  <c r="B7" i="1" l="1"/>
  <c r="C2" i="4" l="1"/>
  <c r="C2" i="10" l="1"/>
  <c r="C2" i="9"/>
  <c r="C2" i="8"/>
  <c r="C2" i="7"/>
  <c r="C2" i="6"/>
  <c r="G7" i="5" l="1"/>
  <c r="L23" i="1" l="1"/>
  <c r="L24" i="1" s="1"/>
  <c r="L25" i="1" s="1"/>
  <c r="L26" i="1" s="1"/>
  <c r="L27" i="1" s="1"/>
  <c r="L28" i="1" s="1"/>
  <c r="L29" i="1" s="1"/>
  <c r="C2" i="5" l="1"/>
  <c r="F23" i="1" l="1"/>
  <c r="F24" i="1" s="1"/>
  <c r="F25" i="1" s="1"/>
  <c r="F26" i="1" s="1"/>
  <c r="F27" i="1" s="1"/>
  <c r="F28" i="1" s="1"/>
  <c r="F29" i="1" s="1"/>
  <c r="B29" i="1" l="1"/>
  <c r="B28" i="1"/>
  <c r="B27" i="1"/>
  <c r="B26" i="1"/>
  <c r="B25" i="1"/>
  <c r="B24" i="1"/>
  <c r="B23" i="1"/>
  <c r="B22" i="1"/>
  <c r="I26" i="1"/>
  <c r="I29" i="1"/>
  <c r="I28" i="1"/>
  <c r="I25" i="1"/>
  <c r="I24" i="1"/>
  <c r="I23" i="1"/>
  <c r="I22" i="1"/>
  <c r="B32" i="4" l="1"/>
  <c r="B26" i="11" l="1"/>
  <c r="B26" i="10"/>
  <c r="B28" i="9"/>
  <c r="B25" i="8"/>
  <c r="B25" i="7"/>
  <c r="B27" i="6"/>
  <c r="B28" i="5"/>
  <c r="D5" i="8" l="1"/>
  <c r="B29" i="6"/>
  <c r="B34" i="4"/>
  <c r="B30" i="5"/>
  <c r="E6" i="11"/>
  <c r="H6" i="11"/>
  <c r="H6" i="10"/>
  <c r="E8" i="9"/>
  <c r="E6" i="10"/>
  <c r="H8" i="9"/>
  <c r="D5" i="7"/>
  <c r="D7" i="6"/>
  <c r="D6" i="11" l="1"/>
  <c r="G6" i="11"/>
  <c r="G8" i="9"/>
  <c r="G6" i="10"/>
  <c r="D8" i="9"/>
  <c r="D6" i="10"/>
  <c r="I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Diana Tung</author>
    <author>Vania Sidharta</author>
  </authors>
  <commentList>
    <comment ref="B8" authorId="0" shapeId="0" xr:uid="{082FA674-436A-4870-B705-DC2F79C65564}">
      <text>
        <r>
          <rPr>
            <b/>
            <sz val="9"/>
            <color indexed="81"/>
            <rFont val="Tahoma"/>
            <family val="2"/>
          </rPr>
          <t>Diana Tung:</t>
        </r>
        <r>
          <rPr>
            <sz val="9"/>
            <color indexed="81"/>
            <rFont val="Tahoma"/>
            <family val="2"/>
          </rPr>
          <t xml:space="preserve">
Enter the desired default accred type to be selected by dropdown menus:
0: Fully Accred
1: LCME Accred</t>
        </r>
      </text>
    </comment>
    <comment ref="B33" authorId="1" shapeId="0" xr:uid="{1D3238E2-0704-4C44-BC40-C370E9E4DEB1}">
      <text>
        <r>
          <rPr>
            <sz val="9"/>
            <color indexed="81"/>
            <rFont val="Tahoma"/>
            <family val="2"/>
          </rPr>
          <t>The HTML templates should be in the same directory as the this workbook.</t>
        </r>
      </text>
    </comment>
    <comment ref="C33" authorId="1" shapeId="0" xr:uid="{9ABE5EFD-B313-4318-A45F-F4128681A9DE}">
      <text>
        <r>
          <rPr>
            <sz val="9"/>
            <color indexed="81"/>
            <rFont val="Tahoma"/>
            <family val="2"/>
          </rPr>
          <t>Use this to include / exclude excel reports from being produced. Enter "Y" to include.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Diana Tung</author>
  </authors>
  <commentList>
    <comment ref="B12" authorId="0" shapeId="0" xr:uid="{CDE8EE15-33EB-4A5D-9A62-C7E0F6CDA66B}">
      <text>
        <r>
          <rPr>
            <b/>
            <sz val="9"/>
            <color indexed="81"/>
            <rFont val="Tahoma"/>
            <family val="2"/>
          </rPr>
          <t>Diana Tung:</t>
        </r>
        <r>
          <rPr>
            <sz val="9"/>
            <color indexed="81"/>
            <rFont val="Tahoma"/>
            <family val="2"/>
          </rPr>
          <t xml:space="preserve">
Leave blank for initial posting in June. Only use if updates are needed.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Diana Tung</author>
  </authors>
  <commentList>
    <comment ref="E1" authorId="0" shapeId="0" xr:uid="{E4012B0E-9AC0-4504-81E6-0E19C9168265}">
      <text>
        <r>
          <rPr>
            <b/>
            <sz val="9"/>
            <color indexed="81"/>
            <rFont val="Tahoma"/>
            <family val="2"/>
          </rPr>
          <t>Diana Tung:</t>
        </r>
        <r>
          <rPr>
            <sz val="9"/>
            <color indexed="81"/>
            <rFont val="Tahoma"/>
            <family val="2"/>
          </rPr>
          <t xml:space="preserve">
Update HTML footnote text in this column of rangenames.</t>
        </r>
      </text>
    </comment>
  </commentList>
</comments>
</file>

<file path=xl/sharedStrings.xml><?xml version="1.0" encoding="utf-8"?>
<sst xmlns="http://schemas.openxmlformats.org/spreadsheetml/2006/main" count="586" uniqueCount="186">
  <si>
    <t>TRIGGERS</t>
  </si>
  <si>
    <t>Main DIR</t>
  </si>
  <si>
    <t>-</t>
  </si>
  <si>
    <t>Output folder</t>
  </si>
  <si>
    <t>_report output</t>
  </si>
  <si>
    <t>Report Date</t>
  </si>
  <si>
    <r>
      <t xml:space="preserve">Update report data </t>
    </r>
    <r>
      <rPr>
        <sz val="10"/>
        <color rgb="FFFF0000"/>
        <rFont val="Calibri"/>
        <family val="2"/>
      </rPr>
      <t>(oracle login required)</t>
    </r>
  </si>
  <si>
    <t>Report Filename</t>
  </si>
  <si>
    <t>Report ID</t>
  </si>
  <si>
    <t>Report Tab</t>
  </si>
  <si>
    <t>Title</t>
  </si>
  <si>
    <t>Total Rows</t>
  </si>
  <si>
    <t>Revenue Source</t>
  </si>
  <si>
    <t>All Revenue</t>
  </si>
  <si>
    <t>% of Total</t>
  </si>
  <si>
    <t>Recorded 
Revenue</t>
  </si>
  <si>
    <t>Not Recorded 
Revenue</t>
  </si>
  <si>
    <t>Practice Plans*</t>
  </si>
  <si>
    <t>Hospital Purchased Services and Investments</t>
  </si>
  <si>
    <t>Government and Parent Support</t>
  </si>
  <si>
    <t>Tuition and Fees</t>
  </si>
  <si>
    <t>Endowment (includes restricted and unrestricted funds)</t>
  </si>
  <si>
    <t>Gifts (includes restricted and unrestricted funds)</t>
  </si>
  <si>
    <t>Total Grants and Contracts</t>
  </si>
  <si>
    <t xml:space="preserve">    Direct Costs</t>
  </si>
  <si>
    <t xml:space="preserve">    Facilities and Administrative/Indirect Costs</t>
  </si>
  <si>
    <t xml:space="preserve">  Other Grants and Contracts</t>
  </si>
  <si>
    <t>Total Revenues</t>
  </si>
  <si>
    <t>Mean</t>
  </si>
  <si>
    <t>Change in $</t>
  </si>
  <si>
    <t>% Change</t>
  </si>
  <si>
    <t>Current Dollars</t>
  </si>
  <si>
    <t>Report Source</t>
  </si>
  <si>
    <t>Miscellaneous Sources†</t>
  </si>
  <si>
    <t>Report FY</t>
  </si>
  <si>
    <t>Report FY - 1</t>
  </si>
  <si>
    <t>Report FY - 2</t>
  </si>
  <si>
    <t>Report Contact Email</t>
  </si>
  <si>
    <t>Report Contact Name</t>
  </si>
  <si>
    <t>Report Contact Title</t>
  </si>
  <si>
    <t>Report Copyright</t>
  </si>
  <si>
    <t>1A</t>
  </si>
  <si>
    <t xml:space="preserve">  Federal Research Grants and Contracts</t>
  </si>
  <si>
    <t>tab</t>
  </si>
  <si>
    <t>value</t>
  </si>
  <si>
    <t>keyword_id</t>
  </si>
  <si>
    <t>AFQ@aamc.org</t>
  </si>
  <si>
    <t>H:\MSDSS\Research and Reporting\Annual Reports\Finance Tables and Graphs</t>
  </si>
  <si>
    <t>Create Medical School Finance Tables</t>
  </si>
  <si>
    <r>
      <t xml:space="preserve">Update report keywords </t>
    </r>
    <r>
      <rPr>
        <sz val="10"/>
        <color rgb="FFFF0000"/>
        <rFont val="Calibri"/>
        <family val="2"/>
      </rPr>
      <t>(oracle login required)</t>
    </r>
  </si>
  <si>
    <t>&lt;tab1_txt1&gt;</t>
  </si>
  <si>
    <t>&lt;tab1_txt2&gt;</t>
  </si>
  <si>
    <t>&lt;tab1_txt3&gt;</t>
  </si>
  <si>
    <t>&lt;tab1_txt4&gt;</t>
  </si>
  <si>
    <t>&lt;tab1_txt5&gt;</t>
  </si>
  <si>
    <t>&lt;tab1a_txt1&gt;</t>
  </si>
  <si>
    <t>&lt;tab1a_txt2&gt;</t>
  </si>
  <si>
    <t>&lt;tab1a_txt3&gt;</t>
  </si>
  <si>
    <t>&lt;tab1a_txt4&gt;</t>
  </si>
  <si>
    <t>&lt;tab1a_txt5&gt;</t>
  </si>
  <si>
    <t>&lt;tab2_txt1&gt;</t>
  </si>
  <si>
    <t>&lt;tab2_txt2&gt;</t>
  </si>
  <si>
    <t>&lt;tab2_txt3&gt;</t>
  </si>
  <si>
    <t>&lt;tab2_txt4&gt;</t>
  </si>
  <si>
    <t>55</t>
  </si>
  <si>
    <t>&lt;tab2_txt5&gt;</t>
  </si>
  <si>
    <t>&lt;tab3_txt1&gt;</t>
  </si>
  <si>
    <t>&lt;tab3_txt2&gt;</t>
  </si>
  <si>
    <t>&lt;tab3_txt3&gt;</t>
  </si>
  <si>
    <t>&lt;tab4_txt1&gt;</t>
  </si>
  <si>
    <t>&lt;tab4_txt2&gt;</t>
  </si>
  <si>
    <t>&lt;tab4_txt3&gt;</t>
  </si>
  <si>
    <t>&lt;tab5_txt1&gt;</t>
  </si>
  <si>
    <t>&lt;tab5_txt2&gt;</t>
  </si>
  <si>
    <t>&lt;tab5_txt3&gt;</t>
  </si>
  <si>
    <t>&lt;tab6_txt1&gt;</t>
  </si>
  <si>
    <t>&lt;tab6_txt2&gt;</t>
  </si>
  <si>
    <t>&lt;tab6_txt3&gt;</t>
  </si>
  <si>
    <t>&lt;tab6_txt4&gt;</t>
  </si>
  <si>
    <t>&lt;tab6_txt5&gt;</t>
  </si>
  <si>
    <t>&lt;tab6_txt6&gt;</t>
  </si>
  <si>
    <t>&lt;tab7_txt1&gt;</t>
  </si>
  <si>
    <t>&lt;tab7_txt2&gt;</t>
  </si>
  <si>
    <t>&lt;tab7_txt3&gt;</t>
  </si>
  <si>
    <t>&lt;tab7_txt4&gt;</t>
  </si>
  <si>
    <t>&lt;tab7_txt5&gt;</t>
  </si>
  <si>
    <t>&lt;tab7_txt6&gt;</t>
  </si>
  <si>
    <t>&lt;tab8_txt1&gt;</t>
  </si>
  <si>
    <t>&lt;tab8_txt2&gt;</t>
  </si>
  <si>
    <t>&lt;tab8_txt3&gt;</t>
  </si>
  <si>
    <t>&lt;tab8_txt4&gt;</t>
  </si>
  <si>
    <t>&lt;tab8_txt5&gt;</t>
  </si>
  <si>
    <t>&lt;tab8_txt6&gt;</t>
  </si>
  <si>
    <t>Report Update Date</t>
  </si>
  <si>
    <r>
      <t>Run REFRESH_FINANCE_TABLES_KEYWORDS to refresh report keywords in FINANCE_TABLES_KEYWORDS</t>
    </r>
    <r>
      <rPr>
        <sz val="10"/>
        <color rgb="FFFF0000"/>
        <rFont val="Calibri"/>
        <family val="2"/>
      </rPr>
      <t xml:space="preserve"> (oracle login required)</t>
    </r>
  </si>
  <si>
    <r>
      <t xml:space="preserve">Run REFRESH_FINANCE_TABLES_DATA to refresh report  data in FINANCE_TABLES_DATA </t>
    </r>
    <r>
      <rPr>
        <sz val="10"/>
        <color rgb="FFFF0000"/>
        <rFont val="Calibri"/>
        <family val="2"/>
      </rPr>
      <t>(oracle login required)</t>
    </r>
  </si>
  <si>
    <t>row_loc</t>
  </si>
  <si>
    <t>n_loc</t>
  </si>
  <si>
    <t>col_loc</t>
  </si>
  <si>
    <t>tot_col</t>
  </si>
  <si>
    <t>start row</t>
  </si>
  <si>
    <t>Accred Type</t>
  </si>
  <si>
    <t>AccredType</t>
  </si>
  <si>
    <r>
      <t xml:space="preserve">Contact: </t>
    </r>
    <r>
      <rPr>
        <i/>
        <u/>
        <sz val="10"/>
        <color theme="4"/>
        <rFont val="Calibri Light"/>
        <family val="2"/>
        <scheme val="major"/>
      </rPr>
      <t>AFQ@aamc.org</t>
    </r>
  </si>
  <si>
    <t>key_loc</t>
  </si>
  <si>
    <t>key_group</t>
  </si>
  <si>
    <t>3A</t>
  </si>
  <si>
    <t>&lt;tab3a_txt1&gt;</t>
  </si>
  <si>
    <t>&lt;tab3a_txt2&gt;</t>
  </si>
  <si>
    <t>&lt;tab3a_txt3&gt;</t>
  </si>
  <si>
    <t>6A</t>
  </si>
  <si>
    <t>&lt;tab6a_txt1&gt;</t>
  </si>
  <si>
    <t>&lt;tab6a_txt2&gt;</t>
  </si>
  <si>
    <t>&lt;tab6a_txt3&gt;</t>
  </si>
  <si>
    <t>&lt;tab6a_txt4&gt;</t>
  </si>
  <si>
    <t>&lt;tab6a_txt5&gt;</t>
  </si>
  <si>
    <t>&lt;tab6a_txt6&gt;</t>
  </si>
  <si>
    <t>tab_id</t>
  </si>
  <si>
    <t>row_order</t>
  </si>
  <si>
    <t>rev_source</t>
  </si>
  <si>
    <t>col1</t>
  </si>
  <si>
    <t>col2</t>
  </si>
  <si>
    <t>col3</t>
  </si>
  <si>
    <t>col4</t>
  </si>
  <si>
    <t>col5</t>
  </si>
  <si>
    <t>col6</t>
  </si>
  <si>
    <t xml:space="preserve"> Public Schools</t>
  </si>
  <si>
    <t xml:space="preserve"> Private Schools</t>
  </si>
  <si>
    <t>155</t>
  </si>
  <si>
    <t>html rngnames</t>
  </si>
  <si>
    <t>Tables</t>
  </si>
  <si>
    <t>HTML files</t>
  </si>
  <si>
    <t>1 template.html</t>
  </si>
  <si>
    <t>2 template.html</t>
  </si>
  <si>
    <t>3 template.html</t>
  </si>
  <si>
    <t>6 template.html</t>
  </si>
  <si>
    <t>Print Report (Y)</t>
  </si>
  <si>
    <r>
      <t xml:space="preserve">Create HTML Files </t>
    </r>
    <r>
      <rPr>
        <b/>
        <sz val="10"/>
        <color rgb="FFFF0000"/>
        <rFont val="Calibri"/>
        <family val="2"/>
      </rPr>
      <t>(oracle login required)</t>
    </r>
  </si>
  <si>
    <t>4 template.html</t>
  </si>
  <si>
    <t>5 template.html</t>
  </si>
  <si>
    <t>7 template.html</t>
  </si>
  <si>
    <t>8 template.html</t>
  </si>
  <si>
    <t>13,070</t>
  </si>
  <si>
    <t>144</t>
  </si>
  <si>
    <t>13,163</t>
  </si>
  <si>
    <t>156</t>
  </si>
  <si>
    <t>7,214</t>
  </si>
  <si>
    <t>5,856</t>
  </si>
  <si>
    <t>89</t>
  </si>
  <si>
    <t>U.S. MD-Granting Medical Education Programs with Full LCME Accreditation</t>
  </si>
  <si>
    <t>U.S. MD-Granting Medical Education Programs with Preliminary, Provisional, and Full LCME Accreditation</t>
  </si>
  <si>
    <t>Public</t>
  </si>
  <si>
    <t>Private</t>
  </si>
  <si>
    <t>U.S. MD-Granting Public Medical Education Programs with Full LCME Accreditation</t>
  </si>
  <si>
    <t>U.S. MD-Granting Public Medical Education Programs with Preliminary, Provisional, and Full LCME Accreditation</t>
  </si>
  <si>
    <t>U.S. MD-Granting Private Medical Education Programs with Preliminary, Provisional, and Full LCME Accreditation</t>
  </si>
  <si>
    <t>U.S. MD-Granting Private Medical Education Programs with Full LCME Accreditation</t>
  </si>
  <si>
    <t>7,978</t>
  </si>
  <si>
    <t>&lt;tab9_txt1&gt;</t>
  </si>
  <si>
    <t>&lt;tab9_txt2&gt;</t>
  </si>
  <si>
    <t>&lt;tab9_txt3&gt;</t>
  </si>
  <si>
    <t>&lt;tab9_txt4&gt;</t>
  </si>
  <si>
    <t>&lt;tab9_txt5&gt;</t>
  </si>
  <si>
    <t xml:space="preserve">Click the table header below to display the dropdown arrow on the right to select U.S. MD-Granting Medical Education Programs by LCME Accreditation type. </t>
  </si>
  <si>
    <t>8,396</t>
  </si>
  <si>
    <t>7,757</t>
  </si>
  <si>
    <t>16,153</t>
  </si>
  <si>
    <t>150</t>
  </si>
  <si>
    <t>181</t>
  </si>
  <si>
    <t>8,413</t>
  </si>
  <si>
    <t>7,898</t>
  </si>
  <si>
    <t>16,311</t>
  </si>
  <si>
    <t>157</t>
  </si>
  <si>
    <t>182</t>
  </si>
  <si>
    <t>9,191</t>
  </si>
  <si>
    <t>6,962</t>
  </si>
  <si>
    <t>91</t>
  </si>
  <si>
    <t>59</t>
  </si>
  <si>
    <t>14,304</t>
  </si>
  <si>
    <t>14,462</t>
  </si>
  <si>
    <t>6,326</t>
  </si>
  <si>
    <t>3,788</t>
  </si>
  <si>
    <t>5,403</t>
  </si>
  <si>
    <t>80</t>
  </si>
  <si>
    <t>Clarissa Gomez</t>
  </si>
  <si>
    <t>Senior Research &amp; Data Analyst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</si>
</sst>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0.0"/>
    <numFmt numFmtId="166" formatCode="0.0"/>
    <numFmt numFmtId="167" formatCode="0.0%"/>
  </numFmts>
  <fonts count="31" x14ac:knownFonts="1">
    <font>
      <sz val="10"/>
      <name val="Arial"/>
      <family val="2"/>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color rgb="FF000000"/>
      <name val="Calibri"/>
      <family val="2"/>
    </font>
    <font>
      <b/>
      <sz val="10"/>
      <color rgb="FF000000"/>
      <name val="Calibri"/>
      <family val="2"/>
    </font>
    <font>
      <b/>
      <sz val="10"/>
      <color rgb="FF000000"/>
      <name val="Calibri Light"/>
      <family val="2"/>
    </font>
    <font>
      <sz val="10"/>
      <color rgb="FFFF0000"/>
      <name val="Calibri"/>
      <family val="2"/>
    </font>
    <font>
      <b/>
      <sz val="11"/>
      <color theme="3" tint="-0.249977111117893"/>
      <name val="Calibri"/>
      <family val="2"/>
      <scheme val="minor"/>
    </font>
    <font>
      <b/>
      <sz val="11"/>
      <name val="Calibri"/>
      <family val="2"/>
      <scheme val="minor"/>
    </font>
    <font>
      <sz val="10"/>
      <name val="Calibri"/>
      <family val="2"/>
      <scheme val="minor"/>
    </font>
    <font>
      <b/>
      <sz val="12"/>
      <name val="Times New Roman"/>
      <family val="1"/>
    </font>
    <font>
      <sz val="10"/>
      <name val="Times New Roman"/>
      <family val="1"/>
    </font>
    <font>
      <i/>
      <sz val="10"/>
      <name val="Calibri"/>
      <family val="2"/>
      <scheme val="minor"/>
    </font>
    <font>
      <sz val="11"/>
      <name val="Times New Roman"/>
      <family val="1"/>
    </font>
    <font>
      <b/>
      <sz val="11"/>
      <name val="Times New Roman"/>
      <family val="1"/>
    </font>
    <font>
      <b/>
      <sz val="10"/>
      <color theme="4" tint="-0.499984740745262"/>
      <name val="Calibri"/>
      <family val="2"/>
      <scheme val="minor"/>
    </font>
    <font>
      <sz val="10"/>
      <color theme="4" tint="-0.499984740745262"/>
      <name val="Calibri"/>
      <family val="2"/>
      <scheme val="minor"/>
    </font>
    <font>
      <b/>
      <sz val="11"/>
      <color theme="4" tint="-0.499984740745262"/>
      <name val="Calibri"/>
      <family val="2"/>
      <scheme val="minor"/>
    </font>
    <font>
      <sz val="10"/>
      <name val="Calibri Light"/>
      <family val="2"/>
      <scheme val="major"/>
    </font>
    <font>
      <u/>
      <sz val="10"/>
      <color theme="10"/>
      <name val="Arial"/>
      <family val="2"/>
    </font>
    <font>
      <i/>
      <sz val="10"/>
      <name val="Calibri Light"/>
      <family val="2"/>
      <scheme val="major"/>
    </font>
    <font>
      <sz val="8"/>
      <name val="Arial"/>
      <family val="2"/>
    </font>
    <font>
      <b/>
      <sz val="12"/>
      <color theme="0"/>
      <name val="Times New Roman"/>
      <family val="1"/>
    </font>
    <font>
      <sz val="9"/>
      <color indexed="81"/>
      <name val="Tahoma"/>
      <family val="2"/>
    </font>
    <font>
      <b/>
      <sz val="9"/>
      <color indexed="81"/>
      <name val="Tahoma"/>
      <family val="2"/>
    </font>
    <font>
      <i/>
      <u/>
      <sz val="10"/>
      <color theme="4"/>
      <name val="Calibri Light"/>
      <family val="2"/>
      <scheme val="major"/>
    </font>
    <font>
      <b/>
      <sz val="10"/>
      <name val="Arial"/>
      <family val="2"/>
    </font>
    <font>
      <b/>
      <sz val="10"/>
      <color theme="1"/>
      <name val="Calibri"/>
      <family val="2"/>
      <scheme val="minor"/>
    </font>
    <font>
      <b/>
      <sz val="10"/>
      <color rgb="FFFF0000"/>
      <name val="Calibri"/>
      <family val="2"/>
    </font>
  </fonts>
  <fills count="10">
    <fill>
      <patternFill patternType="none"/>
    </fill>
    <fill>
      <patternFill patternType="gray125"/>
    </fill>
    <fill>
      <patternFill patternType="solid">
        <fgColor rgb="FFD9E1F2"/>
        <bgColor rgb="FF000000"/>
      </patternFill>
    </fill>
    <fill>
      <patternFill patternType="solid">
        <fgColor rgb="FFD9D9D9"/>
        <bgColor rgb="FF000000"/>
      </patternFill>
    </fill>
    <fill>
      <patternFill patternType="solid">
        <fgColor rgb="FFEE8A8A"/>
        <bgColor rgb="FF000000"/>
      </patternFill>
    </fill>
    <fill>
      <patternFill patternType="solid">
        <fgColor rgb="FFF25050"/>
        <bgColor rgb="FF000000"/>
      </patternFill>
    </fill>
    <fill>
      <patternFill patternType="solid">
        <fgColor theme="0"/>
        <bgColor indexed="64"/>
      </patternFill>
    </fill>
    <fill>
      <patternFill patternType="solid">
        <fgColor theme="0" tint="-0.14999847407452621"/>
        <bgColor indexed="64"/>
      </patternFill>
    </fill>
    <fill>
      <patternFill patternType="solid">
        <fgColor rgb="FF002060"/>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top/>
      <bottom style="thin">
        <color theme="0" tint="-0.24994659260841701"/>
      </bottom>
      <diagonal/>
    </border>
    <border>
      <left style="thin">
        <color theme="2" tint="-0.249977111117893"/>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s>
  <cellStyleXfs count="7">
    <xf numFmtId="0" fontId="0"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21" fillId="0" borderId="0" applyNumberFormat="0" applyFill="0" applyBorder="0" applyAlignment="0" applyProtection="0"/>
    <xf numFmtId="0" fontId="2" fillId="0" borderId="0"/>
    <xf numFmtId="0" fontId="1" fillId="0" borderId="0"/>
  </cellStyleXfs>
  <cellXfs count="125">
    <xf numFmtId="0" fontId="0" fillId="0" borderId="0" xfId="0"/>
    <xf numFmtId="0" fontId="5" fillId="0" borderId="0" xfId="0" applyFont="1"/>
    <xf numFmtId="0" fontId="6" fillId="2" borderId="0" xfId="0" applyFont="1" applyFill="1"/>
    <xf numFmtId="0" fontId="6" fillId="0" borderId="0" xfId="0" applyFont="1"/>
    <xf numFmtId="0" fontId="5" fillId="3" borderId="0" xfId="0" applyFont="1" applyFill="1"/>
    <xf numFmtId="0" fontId="7" fillId="4" borderId="1" xfId="0" applyFont="1" applyFill="1" applyBorder="1" applyAlignment="1">
      <alignment horizontal="center" vertical="center"/>
    </xf>
    <xf numFmtId="0" fontId="7" fillId="4" borderId="2" xfId="0" applyFont="1" applyFill="1" applyBorder="1" applyAlignment="1">
      <alignment horizontal="center" vertical="center"/>
    </xf>
    <xf numFmtId="0" fontId="7" fillId="5" borderId="3" xfId="0" applyFont="1" applyFill="1" applyBorder="1" applyAlignment="1">
      <alignment horizontal="center" vertical="center"/>
    </xf>
    <xf numFmtId="0" fontId="5" fillId="2" borderId="0" xfId="0" applyFont="1" applyFill="1" applyAlignment="1">
      <alignment vertical="center"/>
    </xf>
    <xf numFmtId="0" fontId="5" fillId="2" borderId="0" xfId="0" applyFont="1" applyFill="1"/>
    <xf numFmtId="0" fontId="5" fillId="7" borderId="0" xfId="0" applyFont="1" applyFill="1"/>
    <xf numFmtId="0" fontId="21" fillId="7" borderId="0" xfId="4" applyFill="1"/>
    <xf numFmtId="0" fontId="10" fillId="0" borderId="0" xfId="0" applyFont="1" applyProtection="1">
      <protection hidden="1"/>
    </xf>
    <xf numFmtId="0" fontId="4" fillId="0" borderId="0" xfId="0" applyFont="1" applyProtection="1">
      <protection hidden="1"/>
    </xf>
    <xf numFmtId="0" fontId="0" fillId="0" borderId="0" xfId="0" applyProtection="1">
      <protection hidden="1"/>
    </xf>
    <xf numFmtId="0" fontId="11" fillId="6" borderId="0" xfId="0" applyFont="1" applyFill="1" applyAlignment="1" applyProtection="1">
      <alignment vertical="top" wrapText="1"/>
      <protection hidden="1"/>
    </xf>
    <xf numFmtId="0" fontId="12" fillId="0" borderId="0" xfId="0" applyFont="1" applyProtection="1">
      <protection hidden="1"/>
    </xf>
    <xf numFmtId="44" fontId="4" fillId="0" borderId="0" xfId="2" applyFont="1" applyProtection="1">
      <protection hidden="1"/>
    </xf>
    <xf numFmtId="43" fontId="4" fillId="0" borderId="0" xfId="1" applyFont="1" applyProtection="1">
      <protection hidden="1"/>
    </xf>
    <xf numFmtId="44" fontId="4" fillId="0" borderId="0" xfId="2" applyFont="1" applyAlignment="1" applyProtection="1">
      <alignment horizontal="right"/>
      <protection hidden="1"/>
    </xf>
    <xf numFmtId="0" fontId="17" fillId="0" borderId="4" xfId="0" applyFont="1" applyBorder="1" applyAlignment="1" applyProtection="1">
      <alignment horizontal="center" wrapText="1"/>
      <protection hidden="1"/>
    </xf>
    <xf numFmtId="164" fontId="18" fillId="0" borderId="4" xfId="2" applyNumberFormat="1" applyFont="1" applyBorder="1" applyAlignment="1" applyProtection="1">
      <alignment horizontal="right" wrapText="1" indent="1"/>
      <protection hidden="1"/>
    </xf>
    <xf numFmtId="165" fontId="18" fillId="0" borderId="4" xfId="0" applyNumberFormat="1" applyFont="1" applyBorder="1" applyAlignment="1" applyProtection="1">
      <alignment horizontal="right" wrapText="1" indent="1"/>
      <protection hidden="1"/>
    </xf>
    <xf numFmtId="164" fontId="18" fillId="0" borderId="4" xfId="2" applyNumberFormat="1" applyFont="1" applyFill="1" applyBorder="1" applyAlignment="1" applyProtection="1">
      <alignment horizontal="right" wrapText="1" indent="1"/>
      <protection hidden="1"/>
    </xf>
    <xf numFmtId="0" fontId="13" fillId="0" borderId="0" xfId="0" applyFont="1" applyProtection="1">
      <protection hidden="1"/>
    </xf>
    <xf numFmtId="164" fontId="4" fillId="0" borderId="0" xfId="2" applyNumberFormat="1" applyFont="1" applyProtection="1">
      <protection hidden="1"/>
    </xf>
    <xf numFmtId="0" fontId="11" fillId="0" borderId="0" xfId="0" applyFont="1" applyAlignment="1" applyProtection="1">
      <alignment vertical="top"/>
      <protection hidden="1"/>
    </xf>
    <xf numFmtId="0" fontId="9" fillId="0" borderId="0" xfId="0" applyFont="1" applyProtection="1">
      <protection hidden="1"/>
    </xf>
    <xf numFmtId="0" fontId="0" fillId="0" borderId="0" xfId="0" applyAlignment="1" applyProtection="1">
      <alignment wrapText="1"/>
      <protection hidden="1"/>
    </xf>
    <xf numFmtId="44" fontId="4" fillId="0" borderId="0" xfId="2" applyProtection="1">
      <protection hidden="1"/>
    </xf>
    <xf numFmtId="43" fontId="4" fillId="0" borderId="0" xfId="1" applyProtection="1">
      <protection hidden="1"/>
    </xf>
    <xf numFmtId="44" fontId="4" fillId="0" borderId="0" xfId="2" applyAlignment="1" applyProtection="1">
      <alignment horizontal="right"/>
      <protection hidden="1"/>
    </xf>
    <xf numFmtId="166" fontId="18" fillId="0" borderId="4" xfId="0" applyNumberFormat="1" applyFont="1" applyBorder="1" applyAlignment="1" applyProtection="1">
      <alignment horizontal="right" wrapText="1" indent="1"/>
      <protection hidden="1"/>
    </xf>
    <xf numFmtId="164" fontId="18" fillId="0" borderId="4" xfId="0" applyNumberFormat="1" applyFont="1" applyBorder="1" applyAlignment="1" applyProtection="1">
      <alignment horizontal="right" wrapText="1" indent="1"/>
      <protection hidden="1"/>
    </xf>
    <xf numFmtId="166" fontId="18" fillId="0" borderId="4" xfId="2" applyNumberFormat="1" applyFont="1" applyFill="1" applyBorder="1" applyAlignment="1" applyProtection="1">
      <alignment horizontal="right" wrapText="1" indent="1"/>
      <protection hidden="1"/>
    </xf>
    <xf numFmtId="164" fontId="15" fillId="0" borderId="0" xfId="2" applyNumberFormat="1" applyFont="1" applyProtection="1">
      <protection hidden="1"/>
    </xf>
    <xf numFmtId="0" fontId="0" fillId="0" borderId="0" xfId="0" applyAlignment="1" applyProtection="1">
      <alignment vertical="top"/>
      <protection hidden="1"/>
    </xf>
    <xf numFmtId="43" fontId="12" fillId="0" borderId="0" xfId="1" applyFont="1" applyProtection="1">
      <protection hidden="1"/>
    </xf>
    <xf numFmtId="0" fontId="17" fillId="0" borderId="10" xfId="0" applyFont="1" applyBorder="1" applyAlignment="1" applyProtection="1">
      <alignment horizontal="center" wrapText="1"/>
      <protection hidden="1"/>
    </xf>
    <xf numFmtId="164" fontId="18" fillId="0" borderId="4" xfId="2" applyNumberFormat="1" applyFont="1" applyBorder="1" applyAlignment="1" applyProtection="1">
      <alignment horizontal="right" vertical="center" wrapText="1" indent="1"/>
      <protection hidden="1"/>
    </xf>
    <xf numFmtId="164" fontId="18" fillId="0" borderId="4" xfId="0" applyNumberFormat="1" applyFont="1" applyBorder="1" applyAlignment="1" applyProtection="1">
      <alignment horizontal="right" vertical="center" wrapText="1" indent="1"/>
      <protection hidden="1"/>
    </xf>
    <xf numFmtId="165" fontId="18" fillId="0" borderId="4" xfId="0" applyNumberFormat="1" applyFont="1" applyBorder="1" applyAlignment="1" applyProtection="1">
      <alignment horizontal="right" vertical="center" wrapText="1" indent="1"/>
      <protection hidden="1"/>
    </xf>
    <xf numFmtId="166" fontId="15" fillId="0" borderId="0" xfId="0" applyNumberFormat="1" applyFont="1" applyAlignment="1" applyProtection="1">
      <alignment horizontal="right" indent="3"/>
      <protection hidden="1"/>
    </xf>
    <xf numFmtId="0" fontId="14" fillId="0" borderId="0" xfId="0" applyFont="1" applyAlignment="1" applyProtection="1">
      <alignment vertical="top"/>
      <protection hidden="1"/>
    </xf>
    <xf numFmtId="44" fontId="4" fillId="0" borderId="0" xfId="2" applyFill="1" applyProtection="1">
      <protection hidden="1"/>
    </xf>
    <xf numFmtId="43" fontId="4" fillId="0" borderId="0" xfId="1" applyFill="1" applyProtection="1">
      <protection hidden="1"/>
    </xf>
    <xf numFmtId="44" fontId="4" fillId="0" borderId="0" xfId="2" applyFill="1" applyAlignment="1" applyProtection="1">
      <alignment horizontal="right"/>
      <protection hidden="1"/>
    </xf>
    <xf numFmtId="0" fontId="12" fillId="0" borderId="0" xfId="0" applyFont="1" applyAlignment="1" applyProtection="1">
      <alignment horizontal="center" vertical="top"/>
      <protection hidden="1"/>
    </xf>
    <xf numFmtId="164" fontId="16" fillId="0" borderId="0" xfId="0" applyNumberFormat="1" applyFont="1" applyProtection="1">
      <protection hidden="1"/>
    </xf>
    <xf numFmtId="164" fontId="16" fillId="0" borderId="0" xfId="2" applyNumberFormat="1" applyFont="1" applyBorder="1" applyAlignment="1" applyProtection="1">
      <alignment horizontal="right"/>
      <protection hidden="1"/>
    </xf>
    <xf numFmtId="166" fontId="16" fillId="0" borderId="0" xfId="0" applyNumberFormat="1" applyFont="1" applyProtection="1">
      <protection hidden="1"/>
    </xf>
    <xf numFmtId="44" fontId="4" fillId="0" borderId="0" xfId="2" applyFill="1" applyBorder="1" applyAlignment="1" applyProtection="1">
      <alignment horizontal="right"/>
      <protection hidden="1"/>
    </xf>
    <xf numFmtId="167" fontId="0" fillId="0" borderId="0" xfId="0" applyNumberFormat="1" applyProtection="1">
      <protection hidden="1"/>
    </xf>
    <xf numFmtId="167" fontId="15" fillId="0" borderId="0" xfId="3" applyNumberFormat="1" applyFont="1" applyProtection="1">
      <protection hidden="1"/>
    </xf>
    <xf numFmtId="0" fontId="16" fillId="0" borderId="0" xfId="0" applyFont="1" applyProtection="1">
      <protection hidden="1"/>
    </xf>
    <xf numFmtId="164" fontId="16" fillId="0" borderId="0" xfId="2" applyNumberFormat="1" applyFont="1" applyBorder="1" applyProtection="1">
      <protection hidden="1"/>
    </xf>
    <xf numFmtId="0" fontId="20" fillId="0" borderId="0" xfId="0" applyFont="1" applyProtection="1">
      <protection hidden="1"/>
    </xf>
    <xf numFmtId="44" fontId="4" fillId="0" borderId="0" xfId="2" applyFont="1" applyFill="1" applyProtection="1">
      <protection hidden="1"/>
    </xf>
    <xf numFmtId="43" fontId="4" fillId="0" borderId="0" xfId="1" applyFont="1" applyFill="1" applyProtection="1">
      <protection hidden="1"/>
    </xf>
    <xf numFmtId="44" fontId="4" fillId="0" borderId="0" xfId="2" applyFont="1" applyFill="1" applyAlignment="1" applyProtection="1">
      <alignment horizontal="right"/>
      <protection hidden="1"/>
    </xf>
    <xf numFmtId="0" fontId="7" fillId="0" borderId="0" xfId="0" applyFont="1" applyAlignment="1">
      <alignment horizontal="center" vertical="center"/>
    </xf>
    <xf numFmtId="49" fontId="3" fillId="0" borderId="0" xfId="1" applyNumberFormat="1" applyFont="1" applyAlignment="1"/>
    <xf numFmtId="49" fontId="0" fillId="0" borderId="0" xfId="1" applyNumberFormat="1" applyFont="1" applyAlignment="1"/>
    <xf numFmtId="0" fontId="20" fillId="0" borderId="0" xfId="0" applyFont="1" applyAlignment="1" applyProtection="1">
      <alignment horizontal="left" vertical="top" wrapText="1"/>
      <protection hidden="1"/>
    </xf>
    <xf numFmtId="0" fontId="22" fillId="0" borderId="0" xfId="0" applyFont="1" applyAlignment="1" applyProtection="1">
      <alignment vertical="top"/>
      <protection hidden="1"/>
    </xf>
    <xf numFmtId="0" fontId="19" fillId="0" borderId="0" xfId="0" applyFont="1" applyAlignment="1" applyProtection="1">
      <alignment horizontal="left" indent="1"/>
      <protection hidden="1"/>
    </xf>
    <xf numFmtId="0" fontId="22" fillId="0" borderId="0" xfId="0" applyFont="1" applyAlignment="1" applyProtection="1">
      <alignment horizontal="left" vertical="top"/>
      <protection hidden="1"/>
    </xf>
    <xf numFmtId="0" fontId="29" fillId="0" borderId="0" xfId="0" applyFont="1" applyAlignment="1">
      <alignment wrapText="1"/>
    </xf>
    <xf numFmtId="0" fontId="29" fillId="0" borderId="0" xfId="0" applyFont="1" applyAlignment="1">
      <alignment horizontal="center"/>
    </xf>
    <xf numFmtId="0" fontId="29" fillId="0" borderId="0" xfId="0" applyFont="1" applyAlignment="1">
      <alignment horizontal="center" wrapText="1"/>
    </xf>
    <xf numFmtId="0" fontId="4" fillId="0" borderId="0" xfId="0" applyFont="1" applyProtection="1">
      <protection locked="0" hidden="1"/>
    </xf>
    <xf numFmtId="0" fontId="0" fillId="0" borderId="0" xfId="0" applyProtection="1">
      <protection locked="0" hidden="1"/>
    </xf>
    <xf numFmtId="0" fontId="0" fillId="0" borderId="0" xfId="0" applyAlignment="1" applyProtection="1">
      <alignment wrapText="1"/>
      <protection locked="0" hidden="1"/>
    </xf>
    <xf numFmtId="164" fontId="17" fillId="9" borderId="4" xfId="2" applyNumberFormat="1" applyFont="1" applyFill="1" applyBorder="1" applyAlignment="1" applyProtection="1">
      <alignment horizontal="right" wrapText="1" indent="1"/>
      <protection hidden="1"/>
    </xf>
    <xf numFmtId="166" fontId="17" fillId="9" borderId="4" xfId="0" applyNumberFormat="1" applyFont="1" applyFill="1" applyBorder="1" applyAlignment="1" applyProtection="1">
      <alignment horizontal="right" wrapText="1" indent="1"/>
      <protection hidden="1"/>
    </xf>
    <xf numFmtId="165" fontId="17" fillId="9" borderId="4" xfId="0" applyNumberFormat="1" applyFont="1" applyFill="1" applyBorder="1" applyAlignment="1" applyProtection="1">
      <alignment horizontal="right" wrapText="1" indent="1"/>
      <protection hidden="1"/>
    </xf>
    <xf numFmtId="164" fontId="17" fillId="9" borderId="4" xfId="0" applyNumberFormat="1" applyFont="1" applyFill="1" applyBorder="1" applyAlignment="1" applyProtection="1">
      <alignment horizontal="right" wrapText="1" indent="1"/>
      <protection hidden="1"/>
    </xf>
    <xf numFmtId="166" fontId="17" fillId="9" borderId="4" xfId="2" applyNumberFormat="1" applyFont="1" applyFill="1" applyBorder="1" applyAlignment="1" applyProtection="1">
      <alignment horizontal="right" wrapText="1" indent="1"/>
      <protection hidden="1"/>
    </xf>
    <xf numFmtId="164" fontId="17" fillId="9" borderId="4" xfId="2" applyNumberFormat="1" applyFont="1" applyFill="1" applyBorder="1" applyAlignment="1" applyProtection="1">
      <alignment horizontal="right" vertical="center" wrapText="1" indent="1"/>
      <protection hidden="1"/>
    </xf>
    <xf numFmtId="164" fontId="17" fillId="9" borderId="4" xfId="0" applyNumberFormat="1" applyFont="1" applyFill="1" applyBorder="1" applyAlignment="1" applyProtection="1">
      <alignment horizontal="right" vertical="center" wrapText="1" indent="1"/>
      <protection hidden="1"/>
    </xf>
    <xf numFmtId="165" fontId="17" fillId="9" borderId="4" xfId="0" applyNumberFormat="1" applyFont="1" applyFill="1" applyBorder="1" applyAlignment="1" applyProtection="1">
      <alignment horizontal="right" vertical="center" wrapText="1" indent="1"/>
      <protection hidden="1"/>
    </xf>
    <xf numFmtId="0" fontId="11" fillId="6" borderId="0" xfId="0" applyFont="1" applyFill="1" applyAlignment="1" applyProtection="1">
      <alignment horizontal="left" vertical="top" wrapText="1"/>
      <protection hidden="1"/>
    </xf>
    <xf numFmtId="0" fontId="17" fillId="0" borderId="8" xfId="0" applyFont="1" applyBorder="1" applyAlignment="1" applyProtection="1">
      <alignment horizontal="center" wrapText="1"/>
      <protection hidden="1"/>
    </xf>
    <xf numFmtId="0" fontId="3" fillId="0" borderId="0" xfId="0" applyFont="1"/>
    <xf numFmtId="0" fontId="28" fillId="0" borderId="0" xfId="0" applyFont="1"/>
    <xf numFmtId="3" fontId="0" fillId="0" borderId="0" xfId="0" applyNumberFormat="1"/>
    <xf numFmtId="0" fontId="18" fillId="0" borderId="6" xfId="0" applyFont="1" applyBorder="1" applyAlignment="1" applyProtection="1">
      <alignment horizontal="left" wrapText="1" indent="1"/>
      <protection hidden="1"/>
    </xf>
    <xf numFmtId="0" fontId="18" fillId="0" borderId="8" xfId="0" applyFont="1" applyBorder="1" applyAlignment="1" applyProtection="1">
      <alignment horizontal="left" wrapText="1" indent="1"/>
      <protection hidden="1"/>
    </xf>
    <xf numFmtId="0" fontId="24" fillId="8" borderId="0" xfId="0" applyFont="1" applyFill="1" applyAlignment="1" applyProtection="1">
      <alignment horizontal="center" vertical="center" wrapText="1"/>
      <protection hidden="1"/>
    </xf>
    <xf numFmtId="0" fontId="19" fillId="0" borderId="0" xfId="0" applyFont="1" applyAlignment="1" applyProtection="1">
      <alignment horizontal="left" indent="1"/>
      <protection hidden="1"/>
    </xf>
    <xf numFmtId="0" fontId="19" fillId="0" borderId="0" xfId="0" applyFont="1" applyAlignment="1" applyProtection="1">
      <alignment horizontal="left" vertical="top" indent="1"/>
      <protection hidden="1"/>
    </xf>
    <xf numFmtId="0" fontId="11" fillId="6" borderId="0" xfId="0" applyFont="1" applyFill="1" applyAlignment="1" applyProtection="1">
      <alignment horizontal="left" vertical="top" wrapText="1"/>
      <protection hidden="1"/>
    </xf>
    <xf numFmtId="0" fontId="17" fillId="0" borderId="6" xfId="0" applyFont="1" applyBorder="1" applyAlignment="1" applyProtection="1">
      <alignment horizontal="left" wrapText="1" indent="1"/>
      <protection hidden="1"/>
    </xf>
    <xf numFmtId="0" fontId="17" fillId="0" borderId="8" xfId="0" applyFont="1" applyBorder="1" applyAlignment="1" applyProtection="1">
      <alignment horizontal="left" wrapText="1" indent="1"/>
      <protection hidden="1"/>
    </xf>
    <xf numFmtId="0" fontId="17" fillId="9" borderId="13" xfId="0" applyFont="1" applyFill="1" applyBorder="1" applyAlignment="1" applyProtection="1">
      <alignment horizontal="left"/>
      <protection locked="0" hidden="1"/>
    </xf>
    <xf numFmtId="0" fontId="17" fillId="9" borderId="14" xfId="0" applyFont="1" applyFill="1" applyBorder="1" applyAlignment="1" applyProtection="1">
      <alignment horizontal="left"/>
      <protection locked="0" hidden="1"/>
    </xf>
    <xf numFmtId="0" fontId="17" fillId="9" borderId="15" xfId="0" applyFont="1" applyFill="1" applyBorder="1" applyAlignment="1" applyProtection="1">
      <alignment horizontal="left"/>
      <protection locked="0" hidden="1"/>
    </xf>
    <xf numFmtId="0" fontId="14" fillId="6" borderId="0" xfId="0" applyFont="1" applyFill="1" applyAlignment="1" applyProtection="1">
      <alignment horizontal="left" vertical="center" wrapText="1"/>
      <protection hidden="1"/>
    </xf>
    <xf numFmtId="0" fontId="22" fillId="0" borderId="0" xfId="0" applyFont="1" applyAlignment="1" applyProtection="1">
      <alignment horizontal="left" vertical="top"/>
      <protection hidden="1"/>
    </xf>
    <xf numFmtId="0" fontId="17" fillId="9" borderId="6" xfId="0" applyFont="1" applyFill="1" applyBorder="1" applyAlignment="1" applyProtection="1">
      <alignment horizontal="left" wrapText="1" indent="1"/>
      <protection hidden="1"/>
    </xf>
    <xf numFmtId="0" fontId="17" fillId="9" borderId="8" xfId="0" applyFont="1" applyFill="1" applyBorder="1" applyAlignment="1" applyProtection="1">
      <alignment horizontal="left" wrapText="1" indent="1"/>
      <protection hidden="1"/>
    </xf>
    <xf numFmtId="0" fontId="20" fillId="0" borderId="0" xfId="0" applyFont="1" applyAlignment="1" applyProtection="1">
      <alignment horizontal="left" vertical="top" wrapText="1"/>
      <protection hidden="1"/>
    </xf>
    <xf numFmtId="0" fontId="17" fillId="9" borderId="13" xfId="0" applyFont="1" applyFill="1" applyBorder="1" applyAlignment="1" applyProtection="1">
      <alignment horizontal="left"/>
      <protection hidden="1"/>
    </xf>
    <xf numFmtId="0" fontId="17" fillId="9" borderId="14" xfId="0" applyFont="1" applyFill="1" applyBorder="1" applyAlignment="1" applyProtection="1">
      <alignment horizontal="left"/>
      <protection hidden="1"/>
    </xf>
    <xf numFmtId="0" fontId="17" fillId="9" borderId="15" xfId="0" applyFont="1" applyFill="1" applyBorder="1" applyAlignment="1" applyProtection="1">
      <alignment horizontal="left"/>
      <protection hidden="1"/>
    </xf>
    <xf numFmtId="44" fontId="17" fillId="0" borderId="6" xfId="2" applyFont="1" applyFill="1" applyBorder="1" applyAlignment="1" applyProtection="1">
      <alignment horizontal="center"/>
      <protection hidden="1"/>
    </xf>
    <xf numFmtId="44" fontId="17" fillId="0" borderId="7" xfId="2" applyFont="1" applyFill="1" applyBorder="1" applyAlignment="1" applyProtection="1">
      <alignment horizontal="center"/>
      <protection hidden="1"/>
    </xf>
    <xf numFmtId="44" fontId="17" fillId="0" borderId="8" xfId="2" applyFont="1" applyFill="1" applyBorder="1" applyAlignment="1" applyProtection="1">
      <alignment horizontal="center"/>
      <protection hidden="1"/>
    </xf>
    <xf numFmtId="0" fontId="17" fillId="0" borderId="11" xfId="0" applyFont="1" applyBorder="1" applyAlignment="1" applyProtection="1">
      <alignment horizontal="left" indent="1"/>
      <protection hidden="1"/>
    </xf>
    <xf numFmtId="0" fontId="17" fillId="0" borderId="5" xfId="0" applyFont="1" applyBorder="1" applyAlignment="1" applyProtection="1">
      <alignment horizontal="left" indent="1"/>
      <protection hidden="1"/>
    </xf>
    <xf numFmtId="0" fontId="17" fillId="0" borderId="12" xfId="0" applyFont="1" applyBorder="1" applyAlignment="1" applyProtection="1">
      <alignment horizontal="left" indent="1"/>
      <protection hidden="1"/>
    </xf>
    <xf numFmtId="0" fontId="17" fillId="0" borderId="9" xfId="0" applyFont="1" applyBorder="1" applyAlignment="1" applyProtection="1">
      <alignment horizontal="left" indent="1"/>
      <protection hidden="1"/>
    </xf>
    <xf numFmtId="0" fontId="19" fillId="0" borderId="0" xfId="0" applyFont="1" applyAlignment="1" applyProtection="1">
      <alignment horizontal="left" wrapText="1" indent="1"/>
      <protection hidden="1"/>
    </xf>
    <xf numFmtId="0" fontId="18" fillId="0" borderId="6" xfId="0" applyFont="1" applyBorder="1" applyAlignment="1" applyProtection="1">
      <alignment horizontal="left" vertical="center" wrapText="1" indent="1"/>
      <protection hidden="1"/>
    </xf>
    <xf numFmtId="0" fontId="18" fillId="0" borderId="8" xfId="0" applyFont="1" applyBorder="1" applyAlignment="1" applyProtection="1">
      <alignment horizontal="left" vertical="center" wrapText="1" indent="1"/>
      <protection hidden="1"/>
    </xf>
    <xf numFmtId="0" fontId="17" fillId="9" borderId="6" xfId="0" applyFont="1" applyFill="1" applyBorder="1" applyAlignment="1" applyProtection="1">
      <alignment horizontal="left" vertical="center" wrapText="1" indent="1"/>
      <protection hidden="1"/>
    </xf>
    <xf numFmtId="0" fontId="17" fillId="9" borderId="8" xfId="0" applyFont="1" applyFill="1" applyBorder="1" applyAlignment="1" applyProtection="1">
      <alignment horizontal="left" vertical="center" wrapText="1" indent="1"/>
      <protection hidden="1"/>
    </xf>
    <xf numFmtId="0" fontId="17" fillId="0" borderId="11" xfId="0" applyFont="1" applyBorder="1" applyAlignment="1" applyProtection="1">
      <alignment horizontal="left" wrapText="1" indent="1"/>
      <protection hidden="1"/>
    </xf>
    <xf numFmtId="0" fontId="17" fillId="0" borderId="5" xfId="0" applyFont="1" applyBorder="1" applyAlignment="1" applyProtection="1">
      <alignment horizontal="left" wrapText="1" indent="1"/>
      <protection hidden="1"/>
    </xf>
    <xf numFmtId="0" fontId="17" fillId="0" borderId="12" xfId="0" applyFont="1" applyBorder="1" applyAlignment="1" applyProtection="1">
      <alignment horizontal="left" wrapText="1" indent="1"/>
      <protection hidden="1"/>
    </xf>
    <xf numFmtId="0" fontId="17" fillId="0" borderId="9" xfId="0" applyFont="1" applyBorder="1" applyAlignment="1" applyProtection="1">
      <alignment horizontal="left" wrapText="1" indent="1"/>
      <protection hidden="1"/>
    </xf>
    <xf numFmtId="167" fontId="20" fillId="0" borderId="0" xfId="0" applyNumberFormat="1" applyFont="1" applyAlignment="1" applyProtection="1">
      <alignment horizontal="left" vertical="top" wrapText="1"/>
      <protection hidden="1"/>
    </xf>
    <xf numFmtId="44" fontId="17" fillId="0" borderId="7" xfId="2" applyFont="1" applyFill="1" applyBorder="1" applyAlignment="1" applyProtection="1">
      <alignment horizontal="center" vertical="center"/>
      <protection hidden="1"/>
    </xf>
    <xf numFmtId="44" fontId="17" fillId="0" borderId="8" xfId="2" applyFont="1" applyFill="1" applyBorder="1" applyAlignment="1" applyProtection="1">
      <alignment horizontal="center" vertical="center"/>
      <protection hidden="1"/>
    </xf>
    <xf numFmtId="44" fontId="17" fillId="0" borderId="6" xfId="2" applyFont="1" applyFill="1" applyBorder="1" applyAlignment="1" applyProtection="1">
      <alignment horizontal="center" vertical="center"/>
      <protection hidden="1"/>
    </xf>
  </cellXfs>
  <cellStyles count="7">
    <cellStyle name="Comma" xfId="1" builtinId="3"/>
    <cellStyle name="Currency" xfId="2" builtinId="4"/>
    <cellStyle name="Hyperlink" xfId="4" builtinId="8"/>
    <cellStyle name="Normal" xfId="0" builtinId="0"/>
    <cellStyle name="Normal 2" xfId="5" xr:uid="{52C5BA61-9988-46FB-A3E1-FE5C30AE6142}"/>
    <cellStyle name="Normal 3" xfId="6" xr:uid="{7071DE2A-1E81-48D6-B5D8-3DE6567DEF45}"/>
    <cellStyle name="Percent" xfId="3" builtinId="5"/>
  </cellStyles>
  <dxfs count="16">
    <dxf>
      <fill>
        <patternFill>
          <bgColor rgb="FFE7FBFB"/>
        </patternFill>
      </fill>
    </dxf>
    <dxf>
      <fill>
        <patternFill>
          <bgColor theme="0" tint="-4.9989318521683403E-2"/>
        </patternFill>
      </fill>
    </dxf>
    <dxf>
      <fill>
        <patternFill>
          <bgColor rgb="FFE7FBFB"/>
        </patternFill>
      </fill>
    </dxf>
    <dxf>
      <fill>
        <patternFill>
          <bgColor theme="0" tint="-4.9989318521683403E-2"/>
        </patternFill>
      </fill>
    </dxf>
    <dxf>
      <fill>
        <patternFill>
          <bgColor rgb="FFE7FBFB"/>
        </patternFill>
      </fill>
    </dxf>
    <dxf>
      <fill>
        <patternFill>
          <bgColor theme="0" tint="-4.9989318521683403E-2"/>
        </patternFill>
      </fill>
    </dxf>
    <dxf>
      <fill>
        <patternFill>
          <bgColor rgb="FFE7FBFB"/>
        </patternFill>
      </fill>
    </dxf>
    <dxf>
      <fill>
        <patternFill>
          <bgColor theme="0" tint="-4.9989318521683403E-2"/>
        </patternFill>
      </fill>
    </dxf>
    <dxf>
      <fill>
        <patternFill>
          <bgColor rgb="FFE7FBFB"/>
        </patternFill>
      </fill>
    </dxf>
    <dxf>
      <fill>
        <patternFill>
          <bgColor theme="0" tint="-4.9989318521683403E-2"/>
        </patternFill>
      </fill>
    </dxf>
    <dxf>
      <fill>
        <patternFill>
          <bgColor rgb="FFE7FBFB"/>
        </patternFill>
      </fill>
    </dxf>
    <dxf>
      <fill>
        <patternFill>
          <bgColor theme="0" tint="-4.9989318521683403E-2"/>
        </patternFill>
      </fill>
    </dxf>
    <dxf>
      <fill>
        <patternFill>
          <bgColor rgb="FFE7FBFB"/>
        </patternFill>
      </fill>
    </dxf>
    <dxf>
      <fill>
        <patternFill>
          <bgColor theme="0" tint="-4.9989318521683403E-2"/>
        </patternFill>
      </fill>
    </dxf>
    <dxf>
      <fill>
        <patternFill>
          <bgColor rgb="FFE7FBFB"/>
        </patternFill>
      </fill>
    </dxf>
    <dxf>
      <fill>
        <patternFill>
          <bgColor theme="0" tint="-4.9989318521683403E-2"/>
        </patternFill>
      </fill>
    </dxf>
  </dxfs>
  <tableStyles count="0" defaultTableStyle="TableStyleMedium2" defaultPivotStyle="PivotStyleLight16"/>
  <colors>
    <mruColors>
      <color rgb="FFE7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8</xdr:col>
      <xdr:colOff>333375</xdr:colOff>
      <xdr:row>0</xdr:row>
      <xdr:rowOff>19050</xdr:rowOff>
    </xdr:from>
    <xdr:ext cx="507879" cy="387487"/>
    <xdr:pic>
      <xdr:nvPicPr>
        <xdr:cNvPr id="2" name="Picture 1" descr="AAMC-icon.jp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8372475" y="19050"/>
          <a:ext cx="507879" cy="387487"/>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8</xdr:col>
      <xdr:colOff>390525</xdr:colOff>
      <xdr:row>0</xdr:row>
      <xdr:rowOff>19050</xdr:rowOff>
    </xdr:from>
    <xdr:ext cx="507879" cy="387487"/>
    <xdr:pic>
      <xdr:nvPicPr>
        <xdr:cNvPr id="2" name="Picture 1" descr="AAMC-icon.jp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8305800" y="19050"/>
          <a:ext cx="507879" cy="387487"/>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6</xdr:col>
      <xdr:colOff>381000</xdr:colOff>
      <xdr:row>0</xdr:row>
      <xdr:rowOff>19050</xdr:rowOff>
    </xdr:from>
    <xdr:ext cx="507879" cy="387487"/>
    <xdr:pic>
      <xdr:nvPicPr>
        <xdr:cNvPr id="2" name="Picture 1" descr="AAMC-icon.jp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stretch>
          <a:fillRect/>
        </a:stretch>
      </xdr:blipFill>
      <xdr:spPr>
        <a:xfrm>
          <a:off x="6800850" y="19050"/>
          <a:ext cx="507879" cy="387487"/>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6</xdr:col>
      <xdr:colOff>381000</xdr:colOff>
      <xdr:row>0</xdr:row>
      <xdr:rowOff>19050</xdr:rowOff>
    </xdr:from>
    <xdr:ext cx="507879" cy="387487"/>
    <xdr:pic>
      <xdr:nvPicPr>
        <xdr:cNvPr id="4" name="Picture 3" descr="AAMC-icon.jpg">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cstate="print"/>
        <a:stretch>
          <a:fillRect/>
        </a:stretch>
      </xdr:blipFill>
      <xdr:spPr>
        <a:xfrm>
          <a:off x="6800850" y="19050"/>
          <a:ext cx="507879" cy="387487"/>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6</xdr:col>
      <xdr:colOff>381000</xdr:colOff>
      <xdr:row>0</xdr:row>
      <xdr:rowOff>19050</xdr:rowOff>
    </xdr:from>
    <xdr:ext cx="507879" cy="387487"/>
    <xdr:pic>
      <xdr:nvPicPr>
        <xdr:cNvPr id="4" name="Picture 3" descr="AAMC-icon.jpg">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stretch>
          <a:fillRect/>
        </a:stretch>
      </xdr:blipFill>
      <xdr:spPr>
        <a:xfrm>
          <a:off x="6800850" y="19050"/>
          <a:ext cx="507879" cy="387487"/>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8</xdr:col>
      <xdr:colOff>457200</xdr:colOff>
      <xdr:row>0</xdr:row>
      <xdr:rowOff>19050</xdr:rowOff>
    </xdr:from>
    <xdr:ext cx="507879" cy="387487"/>
    <xdr:pic>
      <xdr:nvPicPr>
        <xdr:cNvPr id="4" name="Picture 3" descr="AAMC-icon.jpg">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cstate="print"/>
        <a:stretch>
          <a:fillRect/>
        </a:stretch>
      </xdr:blipFill>
      <xdr:spPr>
        <a:xfrm>
          <a:off x="8181975" y="19050"/>
          <a:ext cx="507879" cy="387487"/>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8</xdr:col>
      <xdr:colOff>571500</xdr:colOff>
      <xdr:row>0</xdr:row>
      <xdr:rowOff>28575</xdr:rowOff>
    </xdr:from>
    <xdr:ext cx="507879" cy="387487"/>
    <xdr:pic>
      <xdr:nvPicPr>
        <xdr:cNvPr id="4" name="Picture 3" descr="AAMC-icon.jpg">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cstate="print"/>
        <a:stretch>
          <a:fillRect/>
        </a:stretch>
      </xdr:blipFill>
      <xdr:spPr>
        <a:xfrm>
          <a:off x="9029700" y="28575"/>
          <a:ext cx="507879" cy="387487"/>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8</xdr:col>
      <xdr:colOff>561975</xdr:colOff>
      <xdr:row>0</xdr:row>
      <xdr:rowOff>19050</xdr:rowOff>
    </xdr:from>
    <xdr:ext cx="507879" cy="387487"/>
    <xdr:pic>
      <xdr:nvPicPr>
        <xdr:cNvPr id="4" name="Picture 3" descr="AAMC-icon.jpg">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1" cstate="print"/>
        <a:stretch>
          <a:fillRect/>
        </a:stretch>
      </xdr:blipFill>
      <xdr:spPr>
        <a:xfrm>
          <a:off x="9020175" y="19050"/>
          <a:ext cx="507879" cy="387487"/>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hyperlink" Target="mailto:AFQ@aamc.org"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1.bin"/><Relationship Id="rId1" Type="http://schemas.openxmlformats.org/officeDocument/2006/relationships/hyperlink" Target="mailto:AFQ@aamc.org"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2.bin"/><Relationship Id="rId1" Type="http://schemas.openxmlformats.org/officeDocument/2006/relationships/hyperlink" Target="mailto:AFQ@aamc.or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AFQ@aamc.org"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hyperlink" Target="mailto:AFQ@aamc.org"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hyperlink" Target="mailto:AFQ@aamc.org"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7.bin"/><Relationship Id="rId1" Type="http://schemas.openxmlformats.org/officeDocument/2006/relationships/hyperlink" Target="mailto:AFQ@aamc.org"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hyperlink" Target="mailto:AFQ@aamc.org"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9.bin"/><Relationship Id="rId1" Type="http://schemas.openxmlformats.org/officeDocument/2006/relationships/hyperlink" Target="mailto:AFQ@aamc.or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84BE1-C604-4CDB-9113-1CB1F551214B}">
  <sheetPr codeName="Sheet9">
    <tabColor theme="9"/>
  </sheetPr>
  <dimension ref="A1:O52"/>
  <sheetViews>
    <sheetView workbookViewId="0">
      <selection activeCell="L10" sqref="L10"/>
    </sheetView>
  </sheetViews>
  <sheetFormatPr defaultRowHeight="12.75" x14ac:dyDescent="0.2"/>
  <cols>
    <col min="1" max="1" width="14.7109375" bestFit="1" customWidth="1"/>
    <col min="2" max="2" width="13.85546875" customWidth="1"/>
    <col min="3" max="3" width="9.140625" customWidth="1"/>
    <col min="4" max="4" width="24" customWidth="1"/>
    <col min="5" max="12" width="9" customWidth="1"/>
    <col min="15" max="15" width="10.140625" customWidth="1"/>
  </cols>
  <sheetData>
    <row r="1" spans="1:13" x14ac:dyDescent="0.2">
      <c r="A1" s="1" t="s">
        <v>34</v>
      </c>
      <c r="B1" s="2">
        <v>2023</v>
      </c>
      <c r="C1" s="1"/>
      <c r="D1" s="1"/>
      <c r="E1" s="1"/>
      <c r="F1" s="3"/>
      <c r="G1" s="3"/>
      <c r="H1" s="1"/>
      <c r="I1" s="1"/>
      <c r="J1" s="1"/>
      <c r="K1" s="1"/>
      <c r="L1" s="3" t="s">
        <v>0</v>
      </c>
      <c r="M1" s="1"/>
    </row>
    <row r="2" spans="1:13" x14ac:dyDescent="0.2">
      <c r="A2" s="1" t="s">
        <v>35</v>
      </c>
      <c r="B2" s="2">
        <f>REPyear-1</f>
        <v>2022</v>
      </c>
      <c r="C2" s="1"/>
      <c r="D2" s="1"/>
      <c r="E2" s="1"/>
      <c r="F2" s="1"/>
      <c r="G2" s="1"/>
      <c r="H2" s="1"/>
      <c r="I2" s="1"/>
      <c r="J2" s="1"/>
      <c r="K2" s="1"/>
      <c r="L2" s="1"/>
      <c r="M2" s="1"/>
    </row>
    <row r="3" spans="1:13" x14ac:dyDescent="0.2">
      <c r="A3" s="1" t="s">
        <v>36</v>
      </c>
      <c r="B3" s="2">
        <f>REPyear-2</f>
        <v>2021</v>
      </c>
      <c r="C3" s="1"/>
      <c r="D3" s="1"/>
      <c r="E3" s="1"/>
      <c r="F3" s="1"/>
      <c r="G3" s="1"/>
      <c r="H3" s="1"/>
      <c r="I3" s="1"/>
      <c r="J3" s="1"/>
      <c r="K3" s="1"/>
      <c r="L3" s="3"/>
      <c r="M3" s="1"/>
    </row>
    <row r="4" spans="1:13" x14ac:dyDescent="0.2">
      <c r="A4" s="1" t="s">
        <v>1</v>
      </c>
      <c r="B4" s="4" t="s">
        <v>47</v>
      </c>
      <c r="C4" s="1"/>
      <c r="D4" s="1"/>
      <c r="E4" s="1"/>
      <c r="F4" s="1"/>
      <c r="G4" s="1"/>
      <c r="H4" s="1"/>
      <c r="I4" s="1"/>
      <c r="J4" s="1"/>
      <c r="K4" s="1"/>
      <c r="L4" s="60"/>
      <c r="M4" s="1"/>
    </row>
    <row r="5" spans="1:13" x14ac:dyDescent="0.2">
      <c r="A5" s="1" t="s">
        <v>3</v>
      </c>
      <c r="B5" s="4" t="s">
        <v>4</v>
      </c>
      <c r="C5" s="1"/>
      <c r="D5" s="1"/>
      <c r="E5" s="1"/>
      <c r="F5" s="1"/>
      <c r="G5" s="1"/>
      <c r="H5" s="1"/>
      <c r="I5" s="1"/>
      <c r="J5" s="1"/>
      <c r="K5" s="1"/>
      <c r="L5" s="5" t="s">
        <v>2</v>
      </c>
      <c r="M5" s="1" t="s">
        <v>94</v>
      </c>
    </row>
    <row r="6" spans="1:13" x14ac:dyDescent="0.2">
      <c r="A6" s="1" t="s">
        <v>5</v>
      </c>
      <c r="B6" s="4" t="str">
        <f>"June "&amp;REPyear+1&amp;"."</f>
        <v>June 2024.</v>
      </c>
      <c r="C6" s="1"/>
      <c r="D6" s="1"/>
      <c r="E6" s="1"/>
      <c r="F6" s="1"/>
      <c r="G6" s="1"/>
      <c r="H6" s="1"/>
      <c r="I6" s="1"/>
      <c r="J6" s="1"/>
      <c r="K6" s="1"/>
      <c r="L6" s="6" t="s">
        <v>2</v>
      </c>
      <c r="M6" s="1" t="s">
        <v>95</v>
      </c>
    </row>
    <row r="7" spans="1:13" x14ac:dyDescent="0.2">
      <c r="A7" s="1" t="s">
        <v>7</v>
      </c>
      <c r="B7" s="4" t="str">
        <f>"FY "&amp;REPyear&amp;" Medical School Finance Tables - Table X.xlsm"</f>
        <v>FY 2023 Medical School Finance Tables - Table X.xlsm</v>
      </c>
      <c r="C7" s="1"/>
      <c r="D7" s="1"/>
      <c r="E7" s="1" t="str">
        <f>"FY "&amp;REPyear&amp;" Medical School Finance Tables"</f>
        <v>FY 2023 Medical School Finance Tables</v>
      </c>
      <c r="F7" s="1"/>
      <c r="G7" s="1"/>
      <c r="H7" s="1"/>
      <c r="I7" s="1"/>
      <c r="J7" s="1"/>
      <c r="K7" s="1"/>
      <c r="L7" s="6" t="s">
        <v>2</v>
      </c>
      <c r="M7" s="1" t="s">
        <v>49</v>
      </c>
    </row>
    <row r="8" spans="1:13" ht="13.5" thickBot="1" x14ac:dyDescent="0.25">
      <c r="A8" s="1" t="s">
        <v>101</v>
      </c>
      <c r="B8" s="2">
        <v>0</v>
      </c>
      <c r="D8" s="1"/>
      <c r="F8" s="1"/>
      <c r="G8" s="1"/>
      <c r="H8" s="1"/>
      <c r="I8" s="1"/>
      <c r="J8" s="1"/>
      <c r="K8" s="1"/>
      <c r="L8" s="6" t="s">
        <v>2</v>
      </c>
      <c r="M8" s="1" t="s">
        <v>6</v>
      </c>
    </row>
    <row r="9" spans="1:13" ht="13.5" thickBot="1" x14ac:dyDescent="0.25">
      <c r="C9" s="1"/>
      <c r="D9" s="1"/>
      <c r="E9" s="1"/>
      <c r="F9" s="1"/>
      <c r="G9" s="1"/>
      <c r="H9" s="1"/>
      <c r="I9" s="1"/>
      <c r="J9" s="1"/>
      <c r="K9" s="1"/>
      <c r="L9" s="7" t="s">
        <v>2</v>
      </c>
      <c r="M9" s="3" t="s">
        <v>48</v>
      </c>
    </row>
    <row r="10" spans="1:13" ht="13.5" thickBot="1" x14ac:dyDescent="0.25">
      <c r="A10" s="1"/>
      <c r="B10" s="1"/>
      <c r="C10" s="1"/>
      <c r="D10" s="1"/>
      <c r="E10" s="1"/>
      <c r="F10" s="1"/>
      <c r="G10" s="1"/>
      <c r="H10" s="1"/>
      <c r="I10" s="1"/>
      <c r="J10" s="1"/>
      <c r="K10" s="1"/>
      <c r="L10" s="7" t="s">
        <v>2</v>
      </c>
      <c r="M10" s="3" t="s">
        <v>137</v>
      </c>
    </row>
    <row r="11" spans="1:13" x14ac:dyDescent="0.2">
      <c r="A11" s="1"/>
      <c r="B11" s="1"/>
      <c r="C11" s="1"/>
      <c r="D11" s="1"/>
      <c r="E11" s="1"/>
      <c r="F11" s="1"/>
      <c r="G11" s="1"/>
      <c r="H11" s="1"/>
      <c r="I11" s="1"/>
      <c r="J11" s="1"/>
      <c r="K11" s="1"/>
    </row>
    <row r="12" spans="1:13" x14ac:dyDescent="0.2">
      <c r="A12" s="1"/>
      <c r="B12" s="1"/>
      <c r="C12" s="1"/>
      <c r="D12" s="1"/>
      <c r="E12" s="1"/>
      <c r="F12" s="1"/>
      <c r="G12" s="1"/>
      <c r="H12" s="1"/>
      <c r="I12" s="1"/>
      <c r="J12" s="1"/>
      <c r="K12" s="1"/>
      <c r="L12" s="1"/>
      <c r="M12" s="1"/>
    </row>
    <row r="13" spans="1:13" x14ac:dyDescent="0.2">
      <c r="A13" s="1"/>
      <c r="B13" s="1"/>
      <c r="C13" s="1"/>
      <c r="E13" s="1"/>
      <c r="F13" s="1"/>
      <c r="G13" s="1"/>
      <c r="H13" s="1"/>
      <c r="I13" s="1"/>
      <c r="J13" s="1"/>
      <c r="K13" s="1"/>
      <c r="L13" s="1"/>
      <c r="M13" s="1"/>
    </row>
    <row r="14" spans="1:13" x14ac:dyDescent="0.2">
      <c r="A14" s="1"/>
      <c r="B14" s="1"/>
      <c r="C14" s="1"/>
      <c r="D14" s="1"/>
      <c r="E14" s="1"/>
      <c r="F14" s="1"/>
      <c r="G14" s="1"/>
      <c r="H14" s="1"/>
      <c r="I14" s="1"/>
      <c r="J14" s="1"/>
      <c r="K14" s="1"/>
      <c r="L14" s="1"/>
      <c r="M14" s="1"/>
    </row>
    <row r="15" spans="1:13" x14ac:dyDescent="0.2">
      <c r="A15" s="1"/>
      <c r="C15" s="1"/>
      <c r="D15" s="1"/>
      <c r="E15" s="1"/>
      <c r="F15" s="1"/>
      <c r="G15" s="1"/>
      <c r="H15" s="1"/>
      <c r="I15" s="1"/>
      <c r="J15" s="1"/>
      <c r="K15" s="1"/>
      <c r="L15" s="1"/>
      <c r="M15" s="1"/>
    </row>
    <row r="16" spans="1:13" x14ac:dyDescent="0.2">
      <c r="A16" s="1"/>
      <c r="B16" s="1"/>
      <c r="C16" s="1"/>
      <c r="D16" s="1"/>
      <c r="E16" s="1"/>
      <c r="F16" s="1"/>
      <c r="G16" s="1"/>
      <c r="H16" s="1"/>
      <c r="I16" s="1"/>
      <c r="J16" s="1"/>
      <c r="K16" s="1"/>
      <c r="L16" s="1"/>
      <c r="M16" s="1"/>
    </row>
    <row r="17" spans="1:15" x14ac:dyDescent="0.2">
      <c r="A17" s="1"/>
      <c r="B17" s="1"/>
      <c r="C17" s="1"/>
      <c r="D17" s="1"/>
      <c r="E17" s="1"/>
      <c r="F17" s="1"/>
      <c r="G17" s="1"/>
      <c r="H17" s="1"/>
      <c r="I17" s="1"/>
      <c r="J17" s="1"/>
      <c r="K17" s="1"/>
      <c r="L17" s="1"/>
      <c r="M17" s="1"/>
    </row>
    <row r="18" spans="1:15" x14ac:dyDescent="0.2">
      <c r="A18" s="1"/>
      <c r="B18" s="1"/>
      <c r="C18" s="1"/>
      <c r="D18" s="1"/>
      <c r="E18" s="1"/>
      <c r="F18" s="1"/>
      <c r="G18" s="1"/>
      <c r="H18" s="1"/>
      <c r="I18" s="1"/>
      <c r="J18" s="1"/>
      <c r="K18" s="1"/>
      <c r="L18" s="1"/>
      <c r="M18" s="1"/>
    </row>
    <row r="19" spans="1:15" x14ac:dyDescent="0.2">
      <c r="A19" s="1"/>
      <c r="B19" s="1"/>
      <c r="C19" s="1"/>
      <c r="D19" s="1"/>
      <c r="E19" s="1"/>
      <c r="F19" s="1"/>
      <c r="G19" s="1"/>
      <c r="H19" s="1"/>
      <c r="I19" s="1"/>
      <c r="J19" s="1"/>
      <c r="K19" s="1"/>
      <c r="L19" s="1"/>
      <c r="M19" s="1"/>
    </row>
    <row r="20" spans="1:15" x14ac:dyDescent="0.2">
      <c r="A20" s="1"/>
      <c r="B20" s="1"/>
      <c r="C20" s="1"/>
      <c r="D20" s="1"/>
      <c r="E20" s="1"/>
      <c r="F20" s="1"/>
      <c r="G20" s="1"/>
      <c r="H20" s="1"/>
      <c r="I20" s="1"/>
      <c r="J20" s="1"/>
      <c r="K20" s="1"/>
      <c r="L20" s="1"/>
      <c r="M20" s="1"/>
      <c r="O20" s="1"/>
    </row>
    <row r="21" spans="1:15" x14ac:dyDescent="0.2">
      <c r="A21" s="3" t="s">
        <v>8</v>
      </c>
      <c r="B21" s="3" t="s">
        <v>9</v>
      </c>
      <c r="C21" s="3" t="s">
        <v>10</v>
      </c>
      <c r="D21" s="3"/>
      <c r="E21" s="3" t="s">
        <v>11</v>
      </c>
      <c r="F21" s="3" t="s">
        <v>96</v>
      </c>
      <c r="G21" s="3" t="s">
        <v>98</v>
      </c>
      <c r="H21" s="3" t="s">
        <v>97</v>
      </c>
      <c r="I21" s="3" t="s">
        <v>99</v>
      </c>
      <c r="J21" s="3" t="s">
        <v>100</v>
      </c>
      <c r="K21" s="3" t="s">
        <v>105</v>
      </c>
      <c r="L21" s="3" t="s">
        <v>104</v>
      </c>
      <c r="M21" s="3"/>
      <c r="O21" s="1"/>
    </row>
    <row r="22" spans="1:15" x14ac:dyDescent="0.2">
      <c r="A22" s="1">
        <v>1</v>
      </c>
      <c r="B22" s="4" t="str">
        <f ca="1">MID(CELL("filename",'1'!C1),FIND("]",CELL("filename",'1'!C1))+1,255)</f>
        <v>1</v>
      </c>
      <c r="C22" s="8" t="str">
        <f>ref!C22</f>
        <v>Revenues Supporting Programs and Activities, FY 2023 ($ in Millions)</v>
      </c>
      <c r="D22" s="8"/>
      <c r="E22" s="9">
        <v>37</v>
      </c>
      <c r="F22" s="9">
        <v>2</v>
      </c>
      <c r="G22" s="9">
        <v>4</v>
      </c>
      <c r="H22" s="9">
        <v>26</v>
      </c>
      <c r="I22" s="9">
        <f ca="1">COUNTA(INDIRECT("'"&amp;RIGHT(B22,1)&amp;"'!$D$8:I8"))</f>
        <v>0</v>
      </c>
      <c r="J22" s="9">
        <v>9</v>
      </c>
      <c r="K22" s="9">
        <v>5</v>
      </c>
      <c r="L22" s="9">
        <v>2</v>
      </c>
      <c r="M22" s="1"/>
      <c r="O22" s="1"/>
    </row>
    <row r="23" spans="1:15" x14ac:dyDescent="0.2">
      <c r="A23" s="1">
        <v>2</v>
      </c>
      <c r="B23" s="4" t="str">
        <f ca="1">MID(CELL("filename",'2'!B2),FIND("]",CELL("filename",'2'!B2))+1,255)</f>
        <v>2</v>
      </c>
      <c r="C23" s="8" t="str">
        <f>ref!C23</f>
        <v>Revenue Supporting Programs and Activities Public vs. Private, FY 2023 ($ in Millions)</v>
      </c>
      <c r="D23" s="8"/>
      <c r="E23" s="9">
        <v>33</v>
      </c>
      <c r="F23" s="9">
        <f>F22+30</f>
        <v>32</v>
      </c>
      <c r="G23" s="9">
        <v>4</v>
      </c>
      <c r="H23" s="9">
        <v>25</v>
      </c>
      <c r="I23" s="9">
        <f ca="1">COUNTA(INDIRECT("'"&amp;RIGHT(B23,1)&amp;"'!$D$8:I8"))</f>
        <v>6</v>
      </c>
      <c r="J23" s="9">
        <v>8</v>
      </c>
      <c r="K23" s="9">
        <v>5</v>
      </c>
      <c r="L23" s="9">
        <f>L22+2*K22</f>
        <v>12</v>
      </c>
      <c r="M23" s="1"/>
    </row>
    <row r="24" spans="1:15" x14ac:dyDescent="0.2">
      <c r="A24" s="1">
        <v>3</v>
      </c>
      <c r="B24" s="4" t="str">
        <f ca="1">MID(CELL("filename",'3'!B5),FIND("]",CELL("filename",'3'!B5))+1,255)</f>
        <v>3</v>
      </c>
      <c r="C24" s="8" t="str">
        <f>ref!C24</f>
        <v>Percent Change in All Revenue, FY 2022 vs. FY 2023 ($ in Millions)</v>
      </c>
      <c r="D24" s="8"/>
      <c r="E24" s="9">
        <v>32</v>
      </c>
      <c r="F24" s="9">
        <f>F23+30</f>
        <v>62</v>
      </c>
      <c r="G24" s="9">
        <v>4</v>
      </c>
      <c r="H24" s="9">
        <v>22</v>
      </c>
      <c r="I24" s="9">
        <f t="shared" ref="I24:I29" ca="1" si="0">COUNTA(INDIRECT("'"&amp;RIGHT(B24,1)&amp;"'!$D$8:I8"))</f>
        <v>4</v>
      </c>
      <c r="J24" s="9">
        <v>5</v>
      </c>
      <c r="K24" s="9">
        <v>3</v>
      </c>
      <c r="L24" s="9">
        <f>L23+2*K23</f>
        <v>22</v>
      </c>
      <c r="M24" s="1"/>
    </row>
    <row r="25" spans="1:15" x14ac:dyDescent="0.2">
      <c r="A25" s="1">
        <v>4</v>
      </c>
      <c r="B25" s="4" t="str">
        <f ca="1">MID(CELL("filename",'4'!B4),FIND("]",CELL("filename",'4'!B4))+1,255)</f>
        <v>4</v>
      </c>
      <c r="C25" s="8" t="str">
        <f>ref!C25</f>
        <v>Percent Change in All Revenue at Public U.S. Medical Schools, FY 2022 vs. FY 2023 ($ in Millions)</v>
      </c>
      <c r="D25" s="8"/>
      <c r="E25" s="9">
        <v>30</v>
      </c>
      <c r="F25" s="9">
        <f t="shared" ref="F25:F29" si="1">F24+30</f>
        <v>92</v>
      </c>
      <c r="G25" s="9">
        <v>4</v>
      </c>
      <c r="H25" s="9">
        <v>22</v>
      </c>
      <c r="I25" s="9">
        <f t="shared" ca="1" si="0"/>
        <v>4</v>
      </c>
      <c r="J25" s="9">
        <v>5</v>
      </c>
      <c r="K25" s="9">
        <v>3</v>
      </c>
      <c r="L25" s="9">
        <f>L24+2*K24</f>
        <v>28</v>
      </c>
      <c r="M25" s="1"/>
    </row>
    <row r="26" spans="1:15" x14ac:dyDescent="0.2">
      <c r="A26" s="1">
        <v>5</v>
      </c>
      <c r="B26" s="4" t="str">
        <f ca="1">MID(CELL("filename",'5'!B4),FIND("]",CELL("filename",'5'!B4))+1,255)</f>
        <v>5</v>
      </c>
      <c r="C26" s="8" t="str">
        <f>ref!C26</f>
        <v>Percent Change in All Revenue at Private U.S. Medical Schools, FY 2022 vs. FY 2023 ($ in Millions)</v>
      </c>
      <c r="D26" s="8"/>
      <c r="E26" s="9">
        <v>30</v>
      </c>
      <c r="F26" s="9">
        <f t="shared" si="1"/>
        <v>122</v>
      </c>
      <c r="G26" s="9">
        <v>4</v>
      </c>
      <c r="H26" s="9">
        <v>22</v>
      </c>
      <c r="I26" s="9">
        <f t="shared" ca="1" si="0"/>
        <v>4</v>
      </c>
      <c r="J26" s="9">
        <v>5</v>
      </c>
      <c r="K26" s="9">
        <v>3</v>
      </c>
      <c r="L26" s="9">
        <f t="shared" ref="L26:L28" si="2">L25+2*K25</f>
        <v>34</v>
      </c>
      <c r="M26" s="1"/>
    </row>
    <row r="27" spans="1:15" x14ac:dyDescent="0.2">
      <c r="A27" s="1">
        <v>6</v>
      </c>
      <c r="B27" s="4" t="str">
        <f ca="1">MID(CELL("filename",'6'!B8),FIND("]",CELL("filename",'6'!B8))+1,255)</f>
        <v>6</v>
      </c>
      <c r="C27" s="8" t="str">
        <f>ref!C27</f>
        <v>Revenues Supporting Programs and Activities, FY 2021 through FY 2023 ($ in Millions)</v>
      </c>
      <c r="D27" s="8"/>
      <c r="E27" s="9">
        <v>33</v>
      </c>
      <c r="F27" s="9">
        <f t="shared" si="1"/>
        <v>152</v>
      </c>
      <c r="G27" s="9">
        <v>4</v>
      </c>
      <c r="H27" s="9">
        <v>23</v>
      </c>
      <c r="I27" s="9">
        <f t="shared" ca="1" si="0"/>
        <v>6</v>
      </c>
      <c r="J27" s="9">
        <v>6</v>
      </c>
      <c r="K27" s="9">
        <v>6</v>
      </c>
      <c r="L27" s="9">
        <f t="shared" si="2"/>
        <v>40</v>
      </c>
      <c r="M27" s="1"/>
    </row>
    <row r="28" spans="1:15" x14ac:dyDescent="0.2">
      <c r="A28" s="1">
        <v>7</v>
      </c>
      <c r="B28" s="4" t="str">
        <f ca="1">MID(CELL("filename",'7'!B6),FIND("]",CELL("filename",'7'!B6))+1,255)</f>
        <v>7</v>
      </c>
      <c r="C28" s="8" t="str">
        <f>ref!C28</f>
        <v>Revenues Supporting Programs and Activities at Public U.S. Medical Schools, FY 2021 through FY 2023 ($ in Millions)</v>
      </c>
      <c r="D28" s="8"/>
      <c r="E28" s="9">
        <v>31</v>
      </c>
      <c r="F28" s="9">
        <f t="shared" si="1"/>
        <v>182</v>
      </c>
      <c r="G28" s="9">
        <v>4</v>
      </c>
      <c r="H28" s="9">
        <v>23</v>
      </c>
      <c r="I28" s="9">
        <f t="shared" ca="1" si="0"/>
        <v>6</v>
      </c>
      <c r="J28" s="9">
        <v>6</v>
      </c>
      <c r="K28" s="9">
        <v>6</v>
      </c>
      <c r="L28" s="9">
        <f t="shared" si="2"/>
        <v>52</v>
      </c>
      <c r="M28" s="1"/>
    </row>
    <row r="29" spans="1:15" x14ac:dyDescent="0.2">
      <c r="A29" s="1">
        <v>8</v>
      </c>
      <c r="B29" s="4" t="str">
        <f ca="1">MID(CELL("filename",'8'!B6),FIND("]",CELL("filename",'8'!B6))+1,255)</f>
        <v>8</v>
      </c>
      <c r="C29" s="8" t="str">
        <f>ref!C29</f>
        <v>Revenues Supporting Programs and Activities at Private U.S. Medical Schools, FY 2021 through FY 2023 ($ in Millions)</v>
      </c>
      <c r="D29" s="8"/>
      <c r="E29" s="9">
        <v>31</v>
      </c>
      <c r="F29" s="9">
        <f t="shared" si="1"/>
        <v>212</v>
      </c>
      <c r="G29" s="9">
        <v>4</v>
      </c>
      <c r="H29" s="9">
        <v>23</v>
      </c>
      <c r="I29" s="9">
        <f t="shared" ca="1" si="0"/>
        <v>6</v>
      </c>
      <c r="J29" s="9">
        <v>6</v>
      </c>
      <c r="K29" s="9">
        <v>6</v>
      </c>
      <c r="L29" s="9">
        <f>L28+2*K28</f>
        <v>64</v>
      </c>
      <c r="M29" s="1"/>
    </row>
    <row r="30" spans="1:15" x14ac:dyDescent="0.2">
      <c r="A30" s="1"/>
      <c r="B30" s="1"/>
      <c r="C30" s="1"/>
      <c r="D30" s="1"/>
      <c r="E30" s="1"/>
      <c r="F30" s="1"/>
      <c r="G30" s="1"/>
      <c r="H30" s="1"/>
      <c r="I30" s="1"/>
      <c r="J30" s="1"/>
      <c r="K30" s="1"/>
      <c r="L30" s="1"/>
      <c r="M30" s="1"/>
    </row>
    <row r="31" spans="1:15" x14ac:dyDescent="0.2">
      <c r="K31" s="1"/>
      <c r="L31" s="1"/>
      <c r="M31" s="1"/>
    </row>
    <row r="33" spans="1:6" ht="25.5" x14ac:dyDescent="0.2">
      <c r="A33" s="67" t="s">
        <v>130</v>
      </c>
      <c r="B33" s="68" t="s">
        <v>131</v>
      </c>
      <c r="C33" s="69" t="s">
        <v>136</v>
      </c>
    </row>
    <row r="34" spans="1:6" x14ac:dyDescent="0.2">
      <c r="A34" s="1">
        <v>1</v>
      </c>
      <c r="B34" s="1" t="s">
        <v>132</v>
      </c>
    </row>
    <row r="35" spans="1:6" x14ac:dyDescent="0.2">
      <c r="A35" s="1">
        <v>2</v>
      </c>
      <c r="B35" s="1" t="s">
        <v>133</v>
      </c>
    </row>
    <row r="36" spans="1:6" x14ac:dyDescent="0.2">
      <c r="A36" s="1">
        <v>3</v>
      </c>
      <c r="B36" s="1" t="s">
        <v>134</v>
      </c>
      <c r="E36" s="1"/>
    </row>
    <row r="37" spans="1:6" x14ac:dyDescent="0.2">
      <c r="A37" s="1">
        <v>4</v>
      </c>
      <c r="B37" s="1" t="s">
        <v>138</v>
      </c>
    </row>
    <row r="38" spans="1:6" x14ac:dyDescent="0.2">
      <c r="A38" s="1">
        <v>5</v>
      </c>
      <c r="B38" s="1" t="s">
        <v>139</v>
      </c>
    </row>
    <row r="39" spans="1:6" x14ac:dyDescent="0.2">
      <c r="A39" s="1">
        <v>6</v>
      </c>
      <c r="B39" s="1" t="s">
        <v>135</v>
      </c>
      <c r="E39" s="1"/>
    </row>
    <row r="40" spans="1:6" x14ac:dyDescent="0.2">
      <c r="A40" s="1">
        <v>7</v>
      </c>
      <c r="B40" s="1" t="s">
        <v>140</v>
      </c>
    </row>
    <row r="41" spans="1:6" x14ac:dyDescent="0.2">
      <c r="A41" s="1">
        <v>8</v>
      </c>
      <c r="B41" s="1" t="s">
        <v>141</v>
      </c>
    </row>
    <row r="45" spans="1:6" x14ac:dyDescent="0.2">
      <c r="A45" s="1"/>
      <c r="B45" s="1"/>
      <c r="E45" s="1"/>
      <c r="F45" s="1"/>
    </row>
    <row r="46" spans="1:6" x14ac:dyDescent="0.2">
      <c r="A46" s="1"/>
      <c r="B46" s="1"/>
      <c r="E46" s="1"/>
      <c r="F46" s="1"/>
    </row>
    <row r="47" spans="1:6" x14ac:dyDescent="0.2">
      <c r="A47" s="1"/>
      <c r="B47" s="1"/>
      <c r="E47" s="1"/>
      <c r="F47" s="1"/>
    </row>
    <row r="48" spans="1:6" x14ac:dyDescent="0.2">
      <c r="A48" s="1"/>
      <c r="B48" s="1"/>
      <c r="E48" s="1"/>
      <c r="F48" s="1"/>
    </row>
    <row r="49" spans="1:6" x14ac:dyDescent="0.2">
      <c r="A49" s="1"/>
      <c r="B49" s="1"/>
      <c r="E49" s="1"/>
      <c r="F49" s="1"/>
    </row>
    <row r="50" spans="1:6" x14ac:dyDescent="0.2">
      <c r="A50" s="1"/>
      <c r="B50" s="1"/>
      <c r="E50" s="1"/>
      <c r="F50" s="1"/>
    </row>
    <row r="51" spans="1:6" x14ac:dyDescent="0.2">
      <c r="A51" s="1"/>
      <c r="B51" s="1"/>
      <c r="E51" s="1"/>
      <c r="F51" s="1"/>
    </row>
    <row r="52" spans="1:6" x14ac:dyDescent="0.2">
      <c r="A52" s="1"/>
      <c r="B52" s="1"/>
      <c r="E52" s="1"/>
      <c r="F52" s="1"/>
    </row>
  </sheetData>
  <phoneticPr fontId="23" type="noConversion"/>
  <dataValidations count="2">
    <dataValidation type="custom" allowBlank="1" showInputMessage="1" showErrorMessage="1" errorTitle="!!!ERROR!!!" error="Enter &quot;Y&quot; or &quot;y&quot; to trigger the corresponding function!" prompt="Enter &quot;Y&quot; or &quot;y&quot; to trigger function." sqref="L4:L6 L8:L9" xr:uid="{F7968CDD-1BA3-4C29-9D64-1B213775B118}">
      <formula1>OR(L4="y",L4="-")</formula1>
    </dataValidation>
    <dataValidation allowBlank="1" showInputMessage="1" showErrorMessage="1" prompt="Enter &quot;Y&quot; or &quot;y&quot; to trigger function" sqref="L7" xr:uid="{EE0EEDFA-F5A3-447C-AA2D-2CA3CDCDCD40}"/>
  </dataValidations>
  <pageMargins left="0.7" right="0.7" top="0.75" bottom="0.75" header="0.3" footer="0.3"/>
  <pageSetup orientation="portrait" horizontalDpi="1200" verticalDpi="120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1CF30-C082-4C21-8B0B-597DE86C7F9E}">
  <sheetPr codeName="Sheet6"/>
  <dimension ref="A1:U33"/>
  <sheetViews>
    <sheetView showGridLines="0" zoomScaleNormal="100" workbookViewId="0">
      <selection sqref="A1:B2"/>
    </sheetView>
  </sheetViews>
  <sheetFormatPr defaultColWidth="0" defaultRowHeight="12.75" zeroHeight="1" x14ac:dyDescent="0.2"/>
  <cols>
    <col min="1" max="1" width="1.42578125" style="14" customWidth="1"/>
    <col min="2" max="2" width="7.42578125" style="14" customWidth="1"/>
    <col min="3" max="3" width="45" style="14" customWidth="1"/>
    <col min="4" max="4" width="15.28515625" style="29" customWidth="1"/>
    <col min="5" max="6" width="15.28515625" style="30" customWidth="1"/>
    <col min="7" max="7" width="15.28515625" style="31" customWidth="1"/>
    <col min="8" max="9" width="15.28515625" style="14" customWidth="1"/>
    <col min="10" max="10" width="2.85546875" style="14" customWidth="1"/>
    <col min="11" max="11" width="1.42578125" style="14" customWidth="1"/>
    <col min="12" max="16384" width="9.140625" style="14" hidden="1"/>
  </cols>
  <sheetData>
    <row r="1" spans="1:21" ht="19.5" customHeight="1" x14ac:dyDescent="0.25">
      <c r="A1" s="88" t="str">
        <f ca="1">"TABLE"&amp;CHAR(10)&amp;VLOOKUP(MID(CELL("filename",A1),FIND("]",CELL("filename",A1))+1,255),CHOOSE({2,1},ref!A21:A33,ref!B21:B33),2,0)</f>
        <v>TABLE
6</v>
      </c>
      <c r="B1" s="88"/>
      <c r="C1" s="65" t="str">
        <f>ref!C27</f>
        <v>Revenues Supporting Programs and Activities, FY 2021 through FY 2023 ($ in Millions)</v>
      </c>
      <c r="D1" s="65"/>
      <c r="E1" s="65"/>
      <c r="F1" s="65"/>
      <c r="G1" s="65"/>
      <c r="H1" s="65"/>
      <c r="I1" s="65"/>
      <c r="L1" s="71">
        <f>IF($B$6=ref!G2,ref!F2+1,ref!F3+1)</f>
        <v>1</v>
      </c>
    </row>
    <row r="2" spans="1:21" ht="15" customHeight="1" x14ac:dyDescent="0.25">
      <c r="A2" s="88"/>
      <c r="B2" s="88"/>
      <c r="C2" s="65" t="str">
        <f>L2</f>
        <v>U.S. MD-Granting Medical Education Programs with Full LCME Accreditation</v>
      </c>
      <c r="D2" s="65"/>
      <c r="E2" s="65"/>
      <c r="F2" s="65"/>
      <c r="G2" s="65"/>
      <c r="H2" s="65"/>
      <c r="I2" s="65"/>
      <c r="L2" s="71" t="str">
        <f>VLOOKUP((L1-1),ref!F2:G3,2,FALSE)</f>
        <v>U.S. MD-Granting Medical Education Programs with Full LCME Accreditation</v>
      </c>
    </row>
    <row r="3" spans="1:21" ht="6.75" customHeight="1" x14ac:dyDescent="0.25">
      <c r="E3" s="37"/>
      <c r="F3" s="37"/>
    </row>
    <row r="4" spans="1:21" ht="12.75" customHeight="1" x14ac:dyDescent="0.2">
      <c r="B4" s="97" t="s">
        <v>163</v>
      </c>
      <c r="C4" s="97"/>
      <c r="D4" s="97"/>
      <c r="E4" s="97"/>
      <c r="F4" s="97"/>
      <c r="G4" s="97"/>
      <c r="H4" s="97"/>
      <c r="I4" s="97"/>
    </row>
    <row r="5" spans="1:21" ht="6.75" customHeight="1" x14ac:dyDescent="0.25">
      <c r="E5" s="37"/>
      <c r="F5" s="37"/>
    </row>
    <row r="6" spans="1:21" ht="12.75" customHeight="1" x14ac:dyDescent="0.2">
      <c r="B6" s="94" t="s">
        <v>149</v>
      </c>
      <c r="C6" s="95"/>
      <c r="D6" s="95"/>
      <c r="E6" s="95"/>
      <c r="F6" s="95"/>
      <c r="G6" s="95"/>
      <c r="H6" s="95"/>
      <c r="I6" s="96"/>
    </row>
    <row r="7" spans="1:21" ht="12.75" customHeight="1" x14ac:dyDescent="0.2">
      <c r="B7" s="117" t="s">
        <v>12</v>
      </c>
      <c r="C7" s="118"/>
      <c r="D7" s="122" t="s">
        <v>31</v>
      </c>
      <c r="E7" s="122"/>
      <c r="F7" s="123"/>
      <c r="G7" s="124" t="str">
        <f>"FY "&amp;REPyear1&amp;" Constant Dollars"</f>
        <v>FY 2023 Constant Dollars</v>
      </c>
      <c r="H7" s="122"/>
      <c r="I7" s="123"/>
    </row>
    <row r="8" spans="1:21" ht="27" customHeight="1" x14ac:dyDescent="0.2">
      <c r="B8" s="119"/>
      <c r="C8" s="120"/>
      <c r="D8" s="82" t="str">
        <f>"FY "&amp;REPFY2&amp;"
All Revenue"</f>
        <v>FY 2021
All Revenue</v>
      </c>
      <c r="E8" s="20" t="str">
        <f>"FY "&amp;REPFY1&amp;"
All Revenue"</f>
        <v>FY 2022
All Revenue</v>
      </c>
      <c r="F8" s="38" t="str">
        <f>"FY "&amp;REPyear1&amp;"
All Revenue"</f>
        <v>FY 2023
All Revenue</v>
      </c>
      <c r="G8" s="20" t="str">
        <f>"FY "&amp;REPFY2&amp;"
All Revenue"</f>
        <v>FY 2021
All Revenue</v>
      </c>
      <c r="H8" s="20" t="str">
        <f>"FY "&amp;REPFY1&amp;"
All Revenue"</f>
        <v>FY 2022
All Revenue</v>
      </c>
      <c r="I8" s="38" t="str">
        <f>"FY "&amp;REPyear1&amp;"
All Revenue"</f>
        <v>FY 2023
All Revenue</v>
      </c>
    </row>
    <row r="9" spans="1:21" ht="12.75" customHeight="1" x14ac:dyDescent="0.25">
      <c r="B9" s="113" t="s">
        <v>17</v>
      </c>
      <c r="C9" s="114"/>
      <c r="D9" s="39">
        <f>P9</f>
        <v>70918</v>
      </c>
      <c r="E9" s="40">
        <f t="shared" ref="E9:I23" si="0">Q9</f>
        <v>75684</v>
      </c>
      <c r="F9" s="39">
        <f t="shared" si="0"/>
        <v>81256</v>
      </c>
      <c r="G9" s="39">
        <f t="shared" si="0"/>
        <v>78969</v>
      </c>
      <c r="H9" s="40">
        <f t="shared" si="0"/>
        <v>78232</v>
      </c>
      <c r="I9" s="39">
        <f t="shared" si="0"/>
        <v>81256</v>
      </c>
      <c r="L9" s="52" t="str">
        <f>IF($L$1=1,keywords!B29,keywords!B35)</f>
        <v>&lt;tab6_txt1&gt;</v>
      </c>
      <c r="M9" s="52" t="str">
        <f>VLOOKUP($L9,keywords!$B$2:$C$52,2,FALSE)</f>
        <v>16,153</v>
      </c>
      <c r="N9" s="53"/>
      <c r="O9" s="53"/>
      <c r="P9" s="14">
        <f>IF($L$1=1,rawdata!D107,rawdata!D122)</f>
        <v>70918</v>
      </c>
      <c r="Q9" s="14">
        <f>IF($L$1=1,rawdata!E107,rawdata!E122)</f>
        <v>75684</v>
      </c>
      <c r="R9" s="14">
        <f>IF($L$1=1,rawdata!F107,rawdata!F122)</f>
        <v>81256</v>
      </c>
      <c r="S9" s="14">
        <f>IF($L$1=1,rawdata!G107,rawdata!G122)</f>
        <v>78969</v>
      </c>
      <c r="T9" s="14">
        <f>IF($L$1=1,rawdata!H107,rawdata!H122)</f>
        <v>78232</v>
      </c>
      <c r="U9" s="14">
        <f>IF($L$1=1,rawdata!I107,rawdata!I122)</f>
        <v>81256</v>
      </c>
    </row>
    <row r="10" spans="1:21" ht="12.75" customHeight="1" x14ac:dyDescent="0.25">
      <c r="B10" s="113" t="s">
        <v>18</v>
      </c>
      <c r="C10" s="114"/>
      <c r="D10" s="39">
        <f t="shared" ref="D10:D23" si="1">P10</f>
        <v>33881</v>
      </c>
      <c r="E10" s="40">
        <f t="shared" si="0"/>
        <v>36043</v>
      </c>
      <c r="F10" s="39">
        <f t="shared" si="0"/>
        <v>39506</v>
      </c>
      <c r="G10" s="39">
        <f t="shared" si="0"/>
        <v>37728</v>
      </c>
      <c r="H10" s="40">
        <f t="shared" si="0"/>
        <v>37256</v>
      </c>
      <c r="I10" s="39">
        <f t="shared" si="0"/>
        <v>39506</v>
      </c>
      <c r="L10" s="52" t="str">
        <f>IF($L$1=1,keywords!B30,keywords!B36)</f>
        <v>&lt;tab6_txt2&gt;</v>
      </c>
      <c r="M10" s="52" t="str">
        <f>VLOOKUP($L10,keywords!$B$2:$C$52,2,FALSE)</f>
        <v>14,304</v>
      </c>
      <c r="N10" s="53"/>
      <c r="O10" s="53"/>
      <c r="P10" s="14">
        <f>IF($L$1=1,rawdata!D108,rawdata!D123)</f>
        <v>33881</v>
      </c>
      <c r="Q10" s="14">
        <f>IF($L$1=1,rawdata!E108,rawdata!E123)</f>
        <v>36043</v>
      </c>
      <c r="R10" s="14">
        <f>IF($L$1=1,rawdata!F108,rawdata!F123)</f>
        <v>39506</v>
      </c>
      <c r="S10" s="14">
        <f>IF($L$1=1,rawdata!G108,rawdata!G123)</f>
        <v>37728</v>
      </c>
      <c r="T10" s="14">
        <f>IF($L$1=1,rawdata!H108,rawdata!H123)</f>
        <v>37256</v>
      </c>
      <c r="U10" s="14">
        <f>IF($L$1=1,rawdata!I108,rawdata!I123)</f>
        <v>39506</v>
      </c>
    </row>
    <row r="11" spans="1:21" ht="12.75" customHeight="1" x14ac:dyDescent="0.25">
      <c r="B11" s="113" t="s">
        <v>19</v>
      </c>
      <c r="C11" s="114"/>
      <c r="D11" s="39">
        <f t="shared" si="1"/>
        <v>7036</v>
      </c>
      <c r="E11" s="40">
        <f t="shared" si="0"/>
        <v>6990</v>
      </c>
      <c r="F11" s="39">
        <f t="shared" si="0"/>
        <v>7495</v>
      </c>
      <c r="G11" s="39">
        <f t="shared" si="0"/>
        <v>7835</v>
      </c>
      <c r="H11" s="40">
        <f t="shared" si="0"/>
        <v>7226</v>
      </c>
      <c r="I11" s="39">
        <f t="shared" si="0"/>
        <v>7495</v>
      </c>
      <c r="L11" s="52" t="str">
        <f>IF($L$1=1,keywords!B31,keywords!B37)</f>
        <v>&lt;tab6_txt3&gt;</v>
      </c>
      <c r="M11" s="52" t="str">
        <f>VLOOKUP($L11,keywords!$B$2:$C$52,2,FALSE)</f>
        <v>13,070</v>
      </c>
      <c r="N11" s="53"/>
      <c r="O11" s="53"/>
      <c r="P11" s="14">
        <f>IF($L$1=1,rawdata!D109,rawdata!D124)</f>
        <v>7036</v>
      </c>
      <c r="Q11" s="14">
        <f>IF($L$1=1,rawdata!E109,rawdata!E124)</f>
        <v>6990</v>
      </c>
      <c r="R11" s="14">
        <f>IF($L$1=1,rawdata!F109,rawdata!F124)</f>
        <v>7495</v>
      </c>
      <c r="S11" s="14">
        <f>IF($L$1=1,rawdata!G109,rawdata!G124)</f>
        <v>7835</v>
      </c>
      <c r="T11" s="14">
        <f>IF($L$1=1,rawdata!H109,rawdata!H124)</f>
        <v>7226</v>
      </c>
      <c r="U11" s="14">
        <f>IF($L$1=1,rawdata!I109,rawdata!I124)</f>
        <v>7495</v>
      </c>
    </row>
    <row r="12" spans="1:21" ht="12.75" customHeight="1" x14ac:dyDescent="0.25">
      <c r="B12" s="113" t="s">
        <v>20</v>
      </c>
      <c r="C12" s="114"/>
      <c r="D12" s="39">
        <f t="shared" si="1"/>
        <v>5595</v>
      </c>
      <c r="E12" s="40">
        <f t="shared" si="0"/>
        <v>5842</v>
      </c>
      <c r="F12" s="39">
        <f t="shared" si="0"/>
        <v>6098</v>
      </c>
      <c r="G12" s="39">
        <f t="shared" si="0"/>
        <v>6231</v>
      </c>
      <c r="H12" s="40">
        <f t="shared" si="0"/>
        <v>6039</v>
      </c>
      <c r="I12" s="39">
        <f t="shared" si="0"/>
        <v>6098</v>
      </c>
      <c r="L12" s="52" t="str">
        <f>IF($L$1=1,keywords!B32,keywords!B38)</f>
        <v>&lt;tab6_txt4&gt;</v>
      </c>
      <c r="M12" s="52" t="str">
        <f>VLOOKUP($L12,keywords!$B$2:$C$52,2,FALSE)</f>
        <v>150</v>
      </c>
      <c r="N12" s="52" t="str">
        <f>IF($L$1=1, " U.S. MD-granting programs with full LCME accreditation"," U.S. MD-granting programs with preliminary, provisional, or full LCME accreditation")</f>
        <v xml:space="preserve"> U.S. MD-granting programs with full LCME accreditation</v>
      </c>
      <c r="O12" s="53"/>
      <c r="P12" s="14">
        <f>IF($L$1=1,rawdata!D110,rawdata!D125)</f>
        <v>5595</v>
      </c>
      <c r="Q12" s="14">
        <f>IF($L$1=1,rawdata!E110,rawdata!E125)</f>
        <v>5842</v>
      </c>
      <c r="R12" s="14">
        <f>IF($L$1=1,rawdata!F110,rawdata!F125)</f>
        <v>6098</v>
      </c>
      <c r="S12" s="14">
        <f>IF($L$1=1,rawdata!G110,rawdata!G125)</f>
        <v>6231</v>
      </c>
      <c r="T12" s="14">
        <f>IF($L$1=1,rawdata!H110,rawdata!H125)</f>
        <v>6039</v>
      </c>
      <c r="U12" s="14">
        <f>IF($L$1=1,rawdata!I110,rawdata!I125)</f>
        <v>6098</v>
      </c>
    </row>
    <row r="13" spans="1:21" ht="12.75" customHeight="1" x14ac:dyDescent="0.25">
      <c r="B13" s="113" t="s">
        <v>21</v>
      </c>
      <c r="C13" s="114"/>
      <c r="D13" s="39">
        <f t="shared" si="1"/>
        <v>2555</v>
      </c>
      <c r="E13" s="40">
        <f t="shared" si="0"/>
        <v>2803</v>
      </c>
      <c r="F13" s="39">
        <f t="shared" si="0"/>
        <v>3127</v>
      </c>
      <c r="G13" s="39">
        <f t="shared" si="0"/>
        <v>2845</v>
      </c>
      <c r="H13" s="40">
        <f t="shared" si="0"/>
        <v>2897</v>
      </c>
      <c r="I13" s="39">
        <f t="shared" si="0"/>
        <v>3127</v>
      </c>
      <c r="L13" s="52" t="str">
        <f>IF($L$1=1,keywords!B33,keywords!B39)</f>
        <v>&lt;tab6_txt5&gt;</v>
      </c>
      <c r="M13" s="52" t="str">
        <f>VLOOKUP($L13,keywords!$B$2:$C$52,2,FALSE)</f>
        <v>144</v>
      </c>
      <c r="N13" s="52" t="str">
        <f>IF($L$1=1, "This table includes historical data from U.S. MD-granting
   medical education programs prior to their receiving full LCME accreditation in FY "&amp;REPyear1&amp;".","")</f>
        <v>This table includes historical data from U.S. MD-granting
   medical education programs prior to their receiving full LCME accreditation in FY 2023.</v>
      </c>
      <c r="O13" s="53"/>
      <c r="P13" s="14">
        <f>IF($L$1=1,rawdata!D111,rawdata!D126)</f>
        <v>2555</v>
      </c>
      <c r="Q13" s="14">
        <f>IF($L$1=1,rawdata!E111,rawdata!E126)</f>
        <v>2803</v>
      </c>
      <c r="R13" s="14">
        <f>IF($L$1=1,rawdata!F111,rawdata!F126)</f>
        <v>3127</v>
      </c>
      <c r="S13" s="14">
        <f>IF($L$1=1,rawdata!G111,rawdata!G126)</f>
        <v>2845</v>
      </c>
      <c r="T13" s="14">
        <f>IF($L$1=1,rawdata!H111,rawdata!H126)</f>
        <v>2897</v>
      </c>
      <c r="U13" s="14">
        <f>IF($L$1=1,rawdata!I111,rawdata!I126)</f>
        <v>3127</v>
      </c>
    </row>
    <row r="14" spans="1:21" ht="12.75" customHeight="1" x14ac:dyDescent="0.25">
      <c r="B14" s="113" t="s">
        <v>22</v>
      </c>
      <c r="C14" s="114"/>
      <c r="D14" s="39">
        <f t="shared" si="1"/>
        <v>2765</v>
      </c>
      <c r="E14" s="40">
        <f t="shared" si="0"/>
        <v>2959</v>
      </c>
      <c r="F14" s="39">
        <f t="shared" si="0"/>
        <v>3295</v>
      </c>
      <c r="G14" s="39">
        <f t="shared" si="0"/>
        <v>3079</v>
      </c>
      <c r="H14" s="40">
        <f t="shared" si="0"/>
        <v>3059</v>
      </c>
      <c r="I14" s="39">
        <f t="shared" si="0"/>
        <v>3295</v>
      </c>
      <c r="L14" s="52" t="str">
        <f>IF($L$1=1,keywords!B34,keywords!B40)</f>
        <v>&lt;tab6_txt6&gt;</v>
      </c>
      <c r="M14" s="52" t="str">
        <f>VLOOKUP($L14,keywords!$B$2:$C$52,2,FALSE)</f>
        <v>144</v>
      </c>
      <c r="N14" s="53"/>
      <c r="O14" s="53"/>
      <c r="P14" s="14">
        <f>IF($L$1=1,rawdata!D112,rawdata!D127)</f>
        <v>2765</v>
      </c>
      <c r="Q14" s="14">
        <f>IF($L$1=1,rawdata!E112,rawdata!E127)</f>
        <v>2959</v>
      </c>
      <c r="R14" s="14">
        <f>IF($L$1=1,rawdata!F112,rawdata!F127)</f>
        <v>3295</v>
      </c>
      <c r="S14" s="14">
        <f>IF($L$1=1,rawdata!G112,rawdata!G127)</f>
        <v>3079</v>
      </c>
      <c r="T14" s="14">
        <f>IF($L$1=1,rawdata!H112,rawdata!H127)</f>
        <v>3059</v>
      </c>
      <c r="U14" s="14">
        <f>IF($L$1=1,rawdata!I112,rawdata!I127)</f>
        <v>3295</v>
      </c>
    </row>
    <row r="15" spans="1:21" ht="12.75" customHeight="1" x14ac:dyDescent="0.2">
      <c r="B15" s="113" t="s">
        <v>33</v>
      </c>
      <c r="C15" s="114"/>
      <c r="D15" s="39">
        <f t="shared" si="1"/>
        <v>6275</v>
      </c>
      <c r="E15" s="40">
        <f t="shared" si="0"/>
        <v>6705</v>
      </c>
      <c r="F15" s="39">
        <f t="shared" si="0"/>
        <v>6951</v>
      </c>
      <c r="G15" s="39">
        <f t="shared" si="0"/>
        <v>6988</v>
      </c>
      <c r="H15" s="40">
        <f t="shared" si="0"/>
        <v>6931</v>
      </c>
      <c r="I15" s="39">
        <f t="shared" si="0"/>
        <v>6951</v>
      </c>
      <c r="M15" s="52"/>
      <c r="P15" s="14">
        <f>IF($L$1=1,rawdata!D113,rawdata!D128)</f>
        <v>6275</v>
      </c>
      <c r="Q15" s="14">
        <f>IF($L$1=1,rawdata!E113,rawdata!E128)</f>
        <v>6705</v>
      </c>
      <c r="R15" s="14">
        <f>IF($L$1=1,rawdata!F113,rawdata!F128)</f>
        <v>6951</v>
      </c>
      <c r="S15" s="14">
        <f>IF($L$1=1,rawdata!G113,rawdata!G128)</f>
        <v>6988</v>
      </c>
      <c r="T15" s="14">
        <f>IF($L$1=1,rawdata!H113,rawdata!H128)</f>
        <v>6931</v>
      </c>
      <c r="U15" s="14">
        <f>IF($L$1=1,rawdata!I113,rawdata!I128)</f>
        <v>6951</v>
      </c>
    </row>
    <row r="16" spans="1:21" ht="12.75" customHeight="1" x14ac:dyDescent="0.25">
      <c r="B16" s="113" t="s">
        <v>23</v>
      </c>
      <c r="C16" s="114"/>
      <c r="D16" s="39">
        <f t="shared" si="1"/>
        <v>38090</v>
      </c>
      <c r="E16" s="40">
        <f t="shared" si="0"/>
        <v>43433</v>
      </c>
      <c r="F16" s="39">
        <f t="shared" si="0"/>
        <v>44320</v>
      </c>
      <c r="G16" s="39">
        <f t="shared" si="0"/>
        <v>42414</v>
      </c>
      <c r="H16" s="40">
        <f t="shared" si="0"/>
        <v>44896</v>
      </c>
      <c r="I16" s="39">
        <f t="shared" si="0"/>
        <v>44320</v>
      </c>
      <c r="J16" s="52"/>
      <c r="K16" s="52"/>
      <c r="L16" s="52"/>
      <c r="M16" s="52"/>
      <c r="N16" s="53"/>
      <c r="O16" s="53"/>
      <c r="P16" s="14">
        <f>IF($L$1=1,rawdata!D114,rawdata!D129)</f>
        <v>38090</v>
      </c>
      <c r="Q16" s="14">
        <f>IF($L$1=1,rawdata!E114,rawdata!E129)</f>
        <v>43433</v>
      </c>
      <c r="R16" s="14">
        <f>IF($L$1=1,rawdata!F114,rawdata!F129)</f>
        <v>44320</v>
      </c>
      <c r="S16" s="14">
        <f>IF($L$1=1,rawdata!G114,rawdata!G129)</f>
        <v>42414</v>
      </c>
      <c r="T16" s="14">
        <f>IF($L$1=1,rawdata!H114,rawdata!H129)</f>
        <v>44896</v>
      </c>
      <c r="U16" s="14">
        <f>IF($L$1=1,rawdata!I114,rawdata!I129)</f>
        <v>44320</v>
      </c>
    </row>
    <row r="17" spans="2:21" ht="12.75" customHeight="1" x14ac:dyDescent="0.25">
      <c r="B17" s="113" t="s">
        <v>42</v>
      </c>
      <c r="C17" s="114"/>
      <c r="D17" s="39">
        <f t="shared" si="1"/>
        <v>24050</v>
      </c>
      <c r="E17" s="40">
        <f t="shared" si="0"/>
        <v>26006</v>
      </c>
      <c r="F17" s="39">
        <f t="shared" si="0"/>
        <v>28271</v>
      </c>
      <c r="G17" s="39">
        <f t="shared" si="0"/>
        <v>26781</v>
      </c>
      <c r="H17" s="40">
        <f t="shared" si="0"/>
        <v>26882</v>
      </c>
      <c r="I17" s="39">
        <f t="shared" si="0"/>
        <v>28271</v>
      </c>
      <c r="J17" s="52"/>
      <c r="K17" s="52"/>
      <c r="L17" s="52"/>
      <c r="M17" s="52"/>
      <c r="N17" s="53"/>
      <c r="O17" s="53"/>
      <c r="P17" s="14">
        <f>IF($L$1=1,rawdata!D115,rawdata!D130)</f>
        <v>24050</v>
      </c>
      <c r="Q17" s="14">
        <f>IF($L$1=1,rawdata!E115,rawdata!E130)</f>
        <v>26006</v>
      </c>
      <c r="R17" s="14">
        <f>IF($L$1=1,rawdata!F115,rawdata!F130)</f>
        <v>28271</v>
      </c>
      <c r="S17" s="14">
        <f>IF($L$1=1,rawdata!G115,rawdata!G130)</f>
        <v>26781</v>
      </c>
      <c r="T17" s="14">
        <f>IF($L$1=1,rawdata!H115,rawdata!H130)</f>
        <v>26882</v>
      </c>
      <c r="U17" s="14">
        <f>IF($L$1=1,rawdata!I115,rawdata!I130)</f>
        <v>28271</v>
      </c>
    </row>
    <row r="18" spans="2:21" ht="12.75" customHeight="1" x14ac:dyDescent="0.25">
      <c r="B18" s="113" t="s">
        <v>24</v>
      </c>
      <c r="C18" s="114"/>
      <c r="D18" s="39">
        <f t="shared" si="1"/>
        <v>17126</v>
      </c>
      <c r="E18" s="40">
        <f t="shared" si="0"/>
        <v>18471</v>
      </c>
      <c r="F18" s="39">
        <f t="shared" si="0"/>
        <v>20091</v>
      </c>
      <c r="G18" s="39">
        <f t="shared" si="0"/>
        <v>19070</v>
      </c>
      <c r="H18" s="40">
        <f t="shared" si="0"/>
        <v>19093</v>
      </c>
      <c r="I18" s="39">
        <f t="shared" si="0"/>
        <v>20091</v>
      </c>
      <c r="J18" s="52"/>
      <c r="K18" s="52"/>
      <c r="L18" s="52"/>
      <c r="M18" s="52"/>
      <c r="N18" s="53"/>
      <c r="O18" s="53"/>
      <c r="P18" s="14">
        <f>IF($L$1=1,rawdata!D116,rawdata!D131)</f>
        <v>17126</v>
      </c>
      <c r="Q18" s="14">
        <f>IF($L$1=1,rawdata!E116,rawdata!E131)</f>
        <v>18471</v>
      </c>
      <c r="R18" s="14">
        <f>IF($L$1=1,rawdata!F116,rawdata!F131)</f>
        <v>20091</v>
      </c>
      <c r="S18" s="14">
        <f>IF($L$1=1,rawdata!G116,rawdata!G131)</f>
        <v>19070</v>
      </c>
      <c r="T18" s="14">
        <f>IF($L$1=1,rawdata!H116,rawdata!H131)</f>
        <v>19093</v>
      </c>
      <c r="U18" s="14">
        <f>IF($L$1=1,rawdata!I116,rawdata!I131)</f>
        <v>20091</v>
      </c>
    </row>
    <row r="19" spans="2:21" ht="12.75" customHeight="1" x14ac:dyDescent="0.25">
      <c r="B19" s="113" t="s">
        <v>25</v>
      </c>
      <c r="C19" s="114"/>
      <c r="D19" s="39">
        <f t="shared" si="1"/>
        <v>6924</v>
      </c>
      <c r="E19" s="40">
        <f t="shared" si="0"/>
        <v>7534</v>
      </c>
      <c r="F19" s="39">
        <f t="shared" si="0"/>
        <v>8180</v>
      </c>
      <c r="G19" s="39">
        <f t="shared" si="0"/>
        <v>7711</v>
      </c>
      <c r="H19" s="40">
        <f t="shared" si="0"/>
        <v>7788</v>
      </c>
      <c r="I19" s="39">
        <f t="shared" si="0"/>
        <v>8180</v>
      </c>
      <c r="J19" s="52"/>
      <c r="K19" s="52"/>
      <c r="L19" s="52"/>
      <c r="M19" s="53"/>
      <c r="N19" s="53"/>
      <c r="O19" s="53"/>
      <c r="P19" s="14">
        <f>IF($L$1=1,rawdata!D117,rawdata!D132)</f>
        <v>6924</v>
      </c>
      <c r="Q19" s="14">
        <f>IF($L$1=1,rawdata!E117,rawdata!E132)</f>
        <v>7534</v>
      </c>
      <c r="R19" s="14">
        <f>IF($L$1=1,rawdata!F117,rawdata!F132)</f>
        <v>8180</v>
      </c>
      <c r="S19" s="14">
        <f>IF($L$1=1,rawdata!G117,rawdata!G132)</f>
        <v>7711</v>
      </c>
      <c r="T19" s="14">
        <f>IF($L$1=1,rawdata!H117,rawdata!H132)</f>
        <v>7788</v>
      </c>
      <c r="U19" s="14">
        <f>IF($L$1=1,rawdata!I117,rawdata!I132)</f>
        <v>8180</v>
      </c>
    </row>
    <row r="20" spans="2:21" ht="12.75" customHeight="1" x14ac:dyDescent="0.25">
      <c r="B20" s="113" t="s">
        <v>26</v>
      </c>
      <c r="C20" s="114"/>
      <c r="D20" s="39">
        <f t="shared" si="1"/>
        <v>14039</v>
      </c>
      <c r="E20" s="40">
        <f t="shared" si="0"/>
        <v>17427</v>
      </c>
      <c r="F20" s="39">
        <f t="shared" si="0"/>
        <v>16049</v>
      </c>
      <c r="G20" s="39">
        <f t="shared" si="0"/>
        <v>15633</v>
      </c>
      <c r="H20" s="40">
        <f t="shared" si="0"/>
        <v>18014</v>
      </c>
      <c r="I20" s="39">
        <f t="shared" si="0"/>
        <v>16049</v>
      </c>
      <c r="J20" s="52"/>
      <c r="K20" s="52"/>
      <c r="L20" s="52"/>
      <c r="M20" s="53"/>
      <c r="N20" s="53"/>
      <c r="O20" s="53"/>
      <c r="P20" s="14">
        <f>IF($L$1=1,rawdata!D118,rawdata!D133)</f>
        <v>14039</v>
      </c>
      <c r="Q20" s="14">
        <f>IF($L$1=1,rawdata!E118,rawdata!E133)</f>
        <v>17427</v>
      </c>
      <c r="R20" s="14">
        <f>IF($L$1=1,rawdata!F118,rawdata!F133)</f>
        <v>16049</v>
      </c>
      <c r="S20" s="14">
        <f>IF($L$1=1,rawdata!G118,rawdata!G133)</f>
        <v>15633</v>
      </c>
      <c r="T20" s="14">
        <f>IF($L$1=1,rawdata!H118,rawdata!H133)</f>
        <v>18014</v>
      </c>
      <c r="U20" s="14">
        <f>IF($L$1=1,rawdata!I118,rawdata!I133)</f>
        <v>16049</v>
      </c>
    </row>
    <row r="21" spans="2:21" ht="12.75" customHeight="1" x14ac:dyDescent="0.25">
      <c r="B21" s="113" t="s">
        <v>24</v>
      </c>
      <c r="C21" s="114"/>
      <c r="D21" s="39">
        <f t="shared" si="1"/>
        <v>11840</v>
      </c>
      <c r="E21" s="40">
        <f t="shared" si="0"/>
        <v>15096</v>
      </c>
      <c r="F21" s="39">
        <f t="shared" si="0"/>
        <v>13589</v>
      </c>
      <c r="G21" s="39">
        <f t="shared" si="0"/>
        <v>13184</v>
      </c>
      <c r="H21" s="40">
        <f t="shared" si="0"/>
        <v>15604</v>
      </c>
      <c r="I21" s="39">
        <f t="shared" si="0"/>
        <v>13589</v>
      </c>
      <c r="L21" s="52"/>
      <c r="M21" s="53"/>
      <c r="N21" s="53"/>
      <c r="O21" s="53"/>
      <c r="P21" s="14">
        <f>IF($L$1=1,rawdata!D119,rawdata!D134)</f>
        <v>11840</v>
      </c>
      <c r="Q21" s="14">
        <f>IF($L$1=1,rawdata!E119,rawdata!E134)</f>
        <v>15096</v>
      </c>
      <c r="R21" s="14">
        <f>IF($L$1=1,rawdata!F119,rawdata!F134)</f>
        <v>13589</v>
      </c>
      <c r="S21" s="14">
        <f>IF($L$1=1,rawdata!G119,rawdata!G134)</f>
        <v>13184</v>
      </c>
      <c r="T21" s="14">
        <f>IF($L$1=1,rawdata!H119,rawdata!H134)</f>
        <v>15604</v>
      </c>
      <c r="U21" s="14">
        <f>IF($L$1=1,rawdata!I119,rawdata!I134)</f>
        <v>13589</v>
      </c>
    </row>
    <row r="22" spans="2:21" ht="12.75" customHeight="1" x14ac:dyDescent="0.25">
      <c r="B22" s="113" t="s">
        <v>25</v>
      </c>
      <c r="C22" s="114"/>
      <c r="D22" s="39">
        <f t="shared" si="1"/>
        <v>2199</v>
      </c>
      <c r="E22" s="40">
        <f t="shared" si="0"/>
        <v>2332</v>
      </c>
      <c r="F22" s="39">
        <f t="shared" si="0"/>
        <v>2460</v>
      </c>
      <c r="G22" s="39">
        <f t="shared" si="0"/>
        <v>2449</v>
      </c>
      <c r="H22" s="40">
        <f t="shared" si="0"/>
        <v>2410</v>
      </c>
      <c r="I22" s="39">
        <f t="shared" si="0"/>
        <v>2460</v>
      </c>
      <c r="L22" s="52"/>
      <c r="M22" s="53"/>
      <c r="N22" s="53"/>
      <c r="O22" s="53"/>
      <c r="P22" s="14">
        <f>IF($L$1=1,rawdata!D120,rawdata!D135)</f>
        <v>2199</v>
      </c>
      <c r="Q22" s="14">
        <f>IF($L$1=1,rawdata!E120,rawdata!E135)</f>
        <v>2332</v>
      </c>
      <c r="R22" s="14">
        <f>IF($L$1=1,rawdata!F120,rawdata!F135)</f>
        <v>2460</v>
      </c>
      <c r="S22" s="14">
        <f>IF($L$1=1,rawdata!G120,rawdata!G135)</f>
        <v>2449</v>
      </c>
      <c r="T22" s="14">
        <f>IF($L$1=1,rawdata!H120,rawdata!H135)</f>
        <v>2410</v>
      </c>
      <c r="U22" s="14">
        <f>IF($L$1=1,rawdata!I120,rawdata!I135)</f>
        <v>2460</v>
      </c>
    </row>
    <row r="23" spans="2:21" ht="12.75" customHeight="1" x14ac:dyDescent="0.25">
      <c r="B23" s="115" t="s">
        <v>27</v>
      </c>
      <c r="C23" s="116"/>
      <c r="D23" s="78">
        <f t="shared" si="1"/>
        <v>167116</v>
      </c>
      <c r="E23" s="79">
        <f t="shared" si="0"/>
        <v>180459</v>
      </c>
      <c r="F23" s="78">
        <f t="shared" si="0"/>
        <v>192047</v>
      </c>
      <c r="G23" s="78">
        <f t="shared" si="0"/>
        <v>186088</v>
      </c>
      <c r="H23" s="79">
        <f t="shared" si="0"/>
        <v>186535</v>
      </c>
      <c r="I23" s="78">
        <f t="shared" si="0"/>
        <v>192047</v>
      </c>
      <c r="M23" s="53"/>
      <c r="N23" s="53"/>
      <c r="O23" s="53"/>
      <c r="P23" s="14">
        <f>IF($L$1=1,rawdata!D121,rawdata!D136)</f>
        <v>167116</v>
      </c>
      <c r="Q23" s="14">
        <f>IF($L$1=1,rawdata!E121,rawdata!E136)</f>
        <v>180459</v>
      </c>
      <c r="R23" s="14">
        <f>IF($L$1=1,rawdata!F121,rawdata!F136)</f>
        <v>192047</v>
      </c>
      <c r="S23" s="14">
        <f>IF($L$1=1,rawdata!G121,rawdata!G136)</f>
        <v>186088</v>
      </c>
      <c r="T23" s="14">
        <f>IF($L$1=1,rawdata!H121,rawdata!H136)</f>
        <v>186535</v>
      </c>
      <c r="U23" s="14">
        <f>IF($L$1=1,rawdata!I121,rawdata!I136)</f>
        <v>192047</v>
      </c>
    </row>
    <row r="24" spans="2:21" ht="12.75" customHeight="1" x14ac:dyDescent="0.25">
      <c r="B24" s="54"/>
      <c r="C24" s="54"/>
      <c r="D24" s="48"/>
      <c r="E24" s="48"/>
      <c r="F24" s="48"/>
      <c r="G24" s="48"/>
      <c r="H24" s="55"/>
      <c r="I24" s="55"/>
      <c r="M24" s="53"/>
      <c r="N24" s="53"/>
      <c r="O24" s="53"/>
    </row>
    <row r="25" spans="2:21" ht="71.25" customHeight="1" x14ac:dyDescent="0.2">
      <c r="B25" s="101" t="str">
        <f>"*Includes Practice Plan, Network Affiliation, and Other Medical Service Organization Funds. Practice Plan revenues from affiliated hospitals are reported with Hospital Purchased Services 
   &amp; Support: $"&amp;M9&amp;" million total revenue (FY "&amp;REPyear1&amp;"), $"&amp;M10&amp;" million total revenue (FY "&amp;REPFY1&amp;"), and $"&amp;M11&amp;" million total revenue (FY "&amp;REPFY2&amp;"). 
†Includes Sales and Services, Royalties, Consulting, Interest Income, Gains (Losses) on Investments, Leases/Rentals, and Other Miscellaneous "&amp;"
   Revenues.
Totals may not sum due to rounding."</f>
        <v>*Includes Practice Plan, Network Affiliation, and Other Medical Service Organization Funds. Practice Plan revenues from affiliated hospitals are reported with Hospital Purchased Services 
   &amp; Support: $16,153 million total revenue (FY 2023), $14,304 million total revenue (FY 2022), and $13,070 million total revenue (FY 2021). 
†Includes Sales and Services, Royalties, Consulting, Interest Income, Gains (Losses) on Investments, Leases/Rentals, and Other Miscellaneous 
   Revenues.
Totals may not sum due to rounding.</v>
      </c>
      <c r="C25" s="101"/>
      <c r="D25" s="101"/>
      <c r="E25" s="101"/>
      <c r="F25" s="101"/>
      <c r="G25" s="101"/>
      <c r="H25" s="101"/>
      <c r="I25" s="101"/>
    </row>
    <row r="26" spans="2:21" ht="26.25" customHeight="1" x14ac:dyDescent="0.2">
      <c r="B26" s="121" t="str">
        <f>"There were "&amp;M12&amp;", "&amp;M13&amp;", and "&amp;M14&amp;N12&amp;" in FY "&amp;REPyear1&amp;", FY "&amp;REPFY1&amp;", and FY "&amp;REPFY2&amp;", respectively. "&amp;N13</f>
        <v>There were 150, 144, and 144 U.S. MD-granting programs with full LCME accreditation in FY 2023, FY 2022, and FY 2021, respectively. This table includes historical data from U.S. MD-granting
   medical education programs prior to their receiving full LCME accreditation in FY 2023.</v>
      </c>
      <c r="C26" s="101"/>
      <c r="D26" s="101"/>
      <c r="E26" s="101"/>
      <c r="F26" s="101"/>
      <c r="G26" s="101"/>
      <c r="H26" s="101"/>
      <c r="I26" s="101"/>
    </row>
    <row r="27" spans="2:21" ht="12.75" customHeight="1" x14ac:dyDescent="0.2">
      <c r="B27" s="24"/>
      <c r="C27" s="24"/>
      <c r="D27" s="44"/>
      <c r="E27" s="45"/>
      <c r="F27" s="45"/>
      <c r="G27" s="46"/>
    </row>
    <row r="28" spans="2:21" ht="12.75" customHeight="1" x14ac:dyDescent="0.2">
      <c r="B28" s="98" t="str">
        <f>"Source: "&amp;ReportSource&amp;" Prepared by the AAMC "&amp;ReportDate&amp;UpdatedDate</f>
        <v>Source: LCME Part I-A Annual Medical School Financial Questionnaire (AFQ), FY 2023. Prepared by the AAMC June 2024.</v>
      </c>
      <c r="C28" s="98"/>
      <c r="D28" s="98"/>
      <c r="E28" s="98"/>
      <c r="F28" s="98"/>
      <c r="G28" s="64"/>
      <c r="H28" s="64"/>
      <c r="I28" s="64"/>
    </row>
    <row r="29" spans="2:21" ht="12.75" customHeight="1" x14ac:dyDescent="0.2">
      <c r="B29" s="98" t="s">
        <v>103</v>
      </c>
      <c r="C29" s="98"/>
      <c r="D29" s="66"/>
      <c r="E29" s="66"/>
      <c r="F29" s="66"/>
      <c r="G29" s="66"/>
      <c r="H29" s="66"/>
      <c r="I29" s="66"/>
    </row>
    <row r="30" spans="2:21" ht="12.75" customHeight="1" x14ac:dyDescent="0.2">
      <c r="B30" s="98" t="str">
        <f>Copyright</f>
        <v>©2024 Association of American Medical Colleges. All rights reserved.</v>
      </c>
      <c r="C30" s="98"/>
      <c r="D30" s="98"/>
      <c r="E30" s="64"/>
      <c r="F30" s="64"/>
      <c r="G30" s="64"/>
      <c r="H30" s="64"/>
      <c r="I30" s="64"/>
    </row>
    <row r="31" spans="2:21" x14ac:dyDescent="0.2"/>
    <row r="32" spans="2:21" x14ac:dyDescent="0.2"/>
    <row r="33" x14ac:dyDescent="0.2"/>
  </sheetData>
  <sheetProtection algorithmName="SHA-512" hashValue="o/x3XikQ7cBmwl2zP7ChVqDRmy+kN6rp5KoVVUxNFsnmXEy1SLj4DKt+DxQHxcCFcLTCqutVAwP+jAWf6dOTSg==" saltValue="8T12Gj/woLvbBUq1dUQ8Mg==" spinCount="100000" sheet="1" objects="1" scenarios="1"/>
  <mergeCells count="26">
    <mergeCell ref="B28:F28"/>
    <mergeCell ref="B30:D30"/>
    <mergeCell ref="A1:B2"/>
    <mergeCell ref="B16:C16"/>
    <mergeCell ref="B17:C17"/>
    <mergeCell ref="B18:C18"/>
    <mergeCell ref="B11:C11"/>
    <mergeCell ref="B12:C12"/>
    <mergeCell ref="B13:C13"/>
    <mergeCell ref="B14:C14"/>
    <mergeCell ref="B15:C15"/>
    <mergeCell ref="D7:F7"/>
    <mergeCell ref="B29:C29"/>
    <mergeCell ref="B6:I6"/>
    <mergeCell ref="B4:I4"/>
    <mergeCell ref="G7:I7"/>
    <mergeCell ref="B7:C8"/>
    <mergeCell ref="B9:C9"/>
    <mergeCell ref="B10:C10"/>
    <mergeCell ref="B26:I26"/>
    <mergeCell ref="B25:I25"/>
    <mergeCell ref="B21:C21"/>
    <mergeCell ref="B22:C22"/>
    <mergeCell ref="B23:C23"/>
    <mergeCell ref="B19:C19"/>
    <mergeCell ref="B20:C20"/>
  </mergeCells>
  <conditionalFormatting sqref="B9:I22">
    <cfRule type="expression" dxfId="5" priority="4">
      <formula>MOD(ROW(),2)=1</formula>
    </cfRule>
  </conditionalFormatting>
  <conditionalFormatting sqref="D8:I22">
    <cfRule type="expression" dxfId="4" priority="3">
      <formula>MOD(COLUMN(),2)=0</formula>
    </cfRule>
  </conditionalFormatting>
  <hyperlinks>
    <hyperlink ref="B29:C29" r:id="rId1" display="Contact: AFQ@aamc.org" xr:uid="{68561727-D073-407B-AD73-2E89A8148FB5}"/>
  </hyperlinks>
  <printOptions horizontalCentered="1"/>
  <pageMargins left="0.75" right="0.75" top="1" bottom="1" header="0.5" footer="0.5"/>
  <pageSetup scale="86" orientation="landscape" r:id="rId2"/>
  <headerFooter alignWithMargins="0"/>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296B7B05-935F-449C-B396-98143438ACD0}">
          <x14:formula1>
            <xm:f>ref!$G$2:$G$3</xm:f>
          </x14:formula1>
          <xm:sqref>B6:I6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2A73B-03C5-458D-A3BA-2101F40C1711}">
  <sheetPr codeName="Sheet7"/>
  <dimension ref="A1:U31"/>
  <sheetViews>
    <sheetView showGridLines="0" zoomScaleNormal="100" workbookViewId="0">
      <selection sqref="A1:B2"/>
    </sheetView>
  </sheetViews>
  <sheetFormatPr defaultColWidth="0" defaultRowHeight="12.75" zeroHeight="1" x14ac:dyDescent="0.2"/>
  <cols>
    <col min="1" max="1" width="1.42578125" style="14" customWidth="1"/>
    <col min="2" max="2" width="7.42578125" style="14" customWidth="1"/>
    <col min="3" max="3" width="45" style="14" customWidth="1"/>
    <col min="4" max="4" width="15.28515625" style="29" customWidth="1"/>
    <col min="5" max="6" width="15.28515625" style="30" customWidth="1"/>
    <col min="7" max="7" width="15.28515625" style="31" customWidth="1"/>
    <col min="8" max="9" width="15.28515625" style="14" customWidth="1"/>
    <col min="10" max="10" width="2.85546875" style="14" customWidth="1"/>
    <col min="11" max="11" width="1.42578125" style="14" customWidth="1"/>
    <col min="12" max="16384" width="9.140625" style="14" hidden="1"/>
  </cols>
  <sheetData>
    <row r="1" spans="1:21" ht="19.5" customHeight="1" x14ac:dyDescent="0.25">
      <c r="A1" s="88" t="str">
        <f ca="1">"TABLE"&amp;CHAR(10)&amp;VLOOKUP(MID(CELL("filename",A1),FIND("]",CELL("filename",A1))+1,255),CHOOSE({2,1},ref!A21:A33,ref!B21:B33),2,0)</f>
        <v>TABLE
7</v>
      </c>
      <c r="B1" s="88"/>
      <c r="C1" s="65" t="str">
        <f>ref!C28</f>
        <v>Revenues Supporting Programs and Activities at Public U.S. Medical Schools, FY 2021 through FY 2023 ($ in Millions)</v>
      </c>
      <c r="D1" s="65"/>
      <c r="E1" s="65"/>
      <c r="F1" s="65"/>
      <c r="G1" s="65"/>
      <c r="H1" s="65"/>
      <c r="I1" s="65"/>
      <c r="L1" s="71">
        <v>1</v>
      </c>
    </row>
    <row r="2" spans="1:21" ht="15" customHeight="1" x14ac:dyDescent="0.25">
      <c r="A2" s="88"/>
      <c r="B2" s="88"/>
      <c r="C2" s="65" t="str">
        <f>L2</f>
        <v>U.S. MD-Granting Medical Education Programs with Full LCME Accreditation</v>
      </c>
      <c r="D2" s="65"/>
      <c r="E2" s="65"/>
      <c r="F2" s="65"/>
      <c r="G2" s="65"/>
      <c r="H2" s="65"/>
      <c r="I2" s="65"/>
      <c r="L2" s="71" t="str">
        <f>VLOOKUP((L1-1),ref!F2:G3,2,FALSE)</f>
        <v>U.S. MD-Granting Medical Education Programs with Full LCME Accreditation</v>
      </c>
    </row>
    <row r="3" spans="1:21" ht="12.75" customHeight="1" x14ac:dyDescent="0.25">
      <c r="E3" s="37"/>
      <c r="F3" s="37"/>
    </row>
    <row r="4" spans="1:21" ht="12.75" customHeight="1" x14ac:dyDescent="0.2">
      <c r="B4" s="102" t="str">
        <f>VLOOKUP((L1-1),ref!F2:G3,2,FALSE)</f>
        <v>U.S. MD-Granting Medical Education Programs with Full LCME Accreditation</v>
      </c>
      <c r="C4" s="103"/>
      <c r="D4" s="103"/>
      <c r="E4" s="103"/>
      <c r="F4" s="103"/>
      <c r="G4" s="103"/>
      <c r="H4" s="103"/>
      <c r="I4" s="104"/>
    </row>
    <row r="5" spans="1:21" x14ac:dyDescent="0.2">
      <c r="B5" s="117" t="s">
        <v>12</v>
      </c>
      <c r="C5" s="118"/>
      <c r="D5" s="122" t="s">
        <v>31</v>
      </c>
      <c r="E5" s="122"/>
      <c r="F5" s="123"/>
      <c r="G5" s="122" t="str">
        <f>"FY "&amp;REPyear1&amp;" Constant Dollars"</f>
        <v>FY 2023 Constant Dollars</v>
      </c>
      <c r="H5" s="122"/>
      <c r="I5" s="123"/>
    </row>
    <row r="6" spans="1:21" ht="27" customHeight="1" x14ac:dyDescent="0.2">
      <c r="B6" s="119"/>
      <c r="C6" s="120"/>
      <c r="D6" s="82" t="str">
        <f>"FY "&amp;REPFY2&amp;"
All Revenue"</f>
        <v>FY 2021
All Revenue</v>
      </c>
      <c r="E6" s="20" t="str">
        <f>"FY "&amp;REPFY1&amp;"
All Revenue"</f>
        <v>FY 2022
All Revenue</v>
      </c>
      <c r="F6" s="38" t="str">
        <f>"FY "&amp;REPyear1&amp;"
All Revenue"</f>
        <v>FY 2023
All Revenue</v>
      </c>
      <c r="G6" s="82" t="str">
        <f>"FY "&amp;REPFY2&amp;"
All Revenue"</f>
        <v>FY 2021
All Revenue</v>
      </c>
      <c r="H6" s="20" t="str">
        <f>"FY "&amp;REPFY1&amp;"
All Revenue"</f>
        <v>FY 2022
All Revenue</v>
      </c>
      <c r="I6" s="38" t="str">
        <f>"FY "&amp;REPyear1&amp;"
All Revenue"</f>
        <v>FY 2023
All Revenue</v>
      </c>
    </row>
    <row r="7" spans="1:21" ht="12.75" customHeight="1" x14ac:dyDescent="0.2">
      <c r="B7" s="113" t="s">
        <v>17</v>
      </c>
      <c r="C7" s="114"/>
      <c r="D7" s="39">
        <f>P7</f>
        <v>27431</v>
      </c>
      <c r="E7" s="39">
        <f t="shared" ref="E7:I21" si="0">Q7</f>
        <v>29336</v>
      </c>
      <c r="F7" s="39">
        <f t="shared" si="0"/>
        <v>31191</v>
      </c>
      <c r="G7" s="39">
        <f t="shared" si="0"/>
        <v>30545</v>
      </c>
      <c r="H7" s="39">
        <f t="shared" si="0"/>
        <v>30324</v>
      </c>
      <c r="I7" s="39">
        <f t="shared" si="0"/>
        <v>31191</v>
      </c>
      <c r="L7" s="14" t="str">
        <f>IF($L$1=1,keywords!B41,keywords!#REF!)</f>
        <v>&lt;tab7_txt1&gt;</v>
      </c>
      <c r="M7" s="14" t="str">
        <f>VLOOKUP($L7,keywords!$B$2:$C$52,2,FALSE)</f>
        <v>9,191</v>
      </c>
      <c r="P7" s="14">
        <f>IF($L$1=1,rawdata!D137,"")</f>
        <v>27431</v>
      </c>
      <c r="Q7" s="14">
        <f>IF($L$1=1,rawdata!E137,"")</f>
        <v>29336</v>
      </c>
      <c r="R7" s="14">
        <f>IF($L$1=1,rawdata!F137,"")</f>
        <v>31191</v>
      </c>
      <c r="S7" s="14">
        <f>IF($L$1=1,rawdata!G137,"")</f>
        <v>30545</v>
      </c>
      <c r="T7" s="14">
        <f>IF($L$1=1,rawdata!H137,"")</f>
        <v>30324</v>
      </c>
      <c r="U7" s="14">
        <f>IF($L$1=1,rawdata!I137,"")</f>
        <v>31191</v>
      </c>
    </row>
    <row r="8" spans="1:21" ht="12.75" customHeight="1" x14ac:dyDescent="0.2">
      <c r="B8" s="113" t="s">
        <v>18</v>
      </c>
      <c r="C8" s="114"/>
      <c r="D8" s="39">
        <f t="shared" ref="D8:D21" si="1">P8</f>
        <v>17211</v>
      </c>
      <c r="E8" s="39">
        <f t="shared" si="0"/>
        <v>18405</v>
      </c>
      <c r="F8" s="39">
        <f t="shared" si="0"/>
        <v>20546</v>
      </c>
      <c r="G8" s="39">
        <f t="shared" si="0"/>
        <v>19165</v>
      </c>
      <c r="H8" s="39">
        <f t="shared" si="0"/>
        <v>19025</v>
      </c>
      <c r="I8" s="39">
        <f t="shared" si="0"/>
        <v>20546</v>
      </c>
      <c r="L8" s="14" t="str">
        <f>IF($L$1=1,keywords!B42,keywords!#REF!)</f>
        <v>&lt;tab7_txt2&gt;</v>
      </c>
      <c r="M8" s="14" t="str">
        <f>VLOOKUP($L8,keywords!$B$2:$C$52,2,FALSE)</f>
        <v>7,978</v>
      </c>
      <c r="P8" s="14">
        <f>IF($L$1=1,rawdata!D138,"")</f>
        <v>17211</v>
      </c>
      <c r="Q8" s="14">
        <f>IF($L$1=1,rawdata!E138,"")</f>
        <v>18405</v>
      </c>
      <c r="R8" s="14">
        <f>IF($L$1=1,rawdata!F138,"")</f>
        <v>20546</v>
      </c>
      <c r="S8" s="14">
        <f>IF($L$1=1,rawdata!G138,"")</f>
        <v>19165</v>
      </c>
      <c r="T8" s="14">
        <f>IF($L$1=1,rawdata!H138,"")</f>
        <v>19025</v>
      </c>
      <c r="U8" s="14">
        <f>IF($L$1=1,rawdata!I138,"")</f>
        <v>20546</v>
      </c>
    </row>
    <row r="9" spans="1:21" ht="12.75" customHeight="1" x14ac:dyDescent="0.2">
      <c r="B9" s="113" t="s">
        <v>19</v>
      </c>
      <c r="C9" s="114"/>
      <c r="D9" s="39">
        <f t="shared" si="1"/>
        <v>6078</v>
      </c>
      <c r="E9" s="39">
        <f t="shared" si="0"/>
        <v>6166</v>
      </c>
      <c r="F9" s="39">
        <f t="shared" si="0"/>
        <v>6773</v>
      </c>
      <c r="G9" s="39">
        <f t="shared" si="0"/>
        <v>6768</v>
      </c>
      <c r="H9" s="39">
        <f t="shared" si="0"/>
        <v>6374</v>
      </c>
      <c r="I9" s="39">
        <f t="shared" si="0"/>
        <v>6773</v>
      </c>
      <c r="L9" s="14" t="str">
        <f>IF($L$1=1,keywords!B43,keywords!#REF!)</f>
        <v>&lt;tab7_txt3&gt;</v>
      </c>
      <c r="M9" s="14" t="str">
        <f>VLOOKUP($L9,keywords!$B$2:$C$52,2,FALSE)</f>
        <v>7,214</v>
      </c>
      <c r="P9" s="14">
        <f>IF($L$1=1,rawdata!D139,"")</f>
        <v>6078</v>
      </c>
      <c r="Q9" s="14">
        <f>IF($L$1=1,rawdata!E139,"")</f>
        <v>6166</v>
      </c>
      <c r="R9" s="14">
        <f>IF($L$1=1,rawdata!F139,"")</f>
        <v>6773</v>
      </c>
      <c r="S9" s="14">
        <f>IF($L$1=1,rawdata!G139,"")</f>
        <v>6768</v>
      </c>
      <c r="T9" s="14">
        <f>IF($L$1=1,rawdata!H139,"")</f>
        <v>6374</v>
      </c>
      <c r="U9" s="14">
        <f>IF($L$1=1,rawdata!I139,"")</f>
        <v>6773</v>
      </c>
    </row>
    <row r="10" spans="1:21" ht="12.75" customHeight="1" x14ac:dyDescent="0.2">
      <c r="B10" s="113" t="s">
        <v>20</v>
      </c>
      <c r="C10" s="114"/>
      <c r="D10" s="39">
        <f t="shared" si="1"/>
        <v>2562</v>
      </c>
      <c r="E10" s="39">
        <f t="shared" si="0"/>
        <v>2639</v>
      </c>
      <c r="F10" s="39">
        <f t="shared" si="0"/>
        <v>2737</v>
      </c>
      <c r="G10" s="39">
        <f t="shared" si="0"/>
        <v>2852</v>
      </c>
      <c r="H10" s="39">
        <f t="shared" si="0"/>
        <v>2728</v>
      </c>
      <c r="I10" s="39">
        <f t="shared" si="0"/>
        <v>2737</v>
      </c>
      <c r="L10" s="14" t="str">
        <f>IF($L$1=1,keywords!B44,keywords!#REF!)</f>
        <v>&lt;tab7_txt4&gt;</v>
      </c>
      <c r="M10" s="14" t="str">
        <f>VLOOKUP($L10,keywords!$B$2:$C$52,2,FALSE)</f>
        <v>91</v>
      </c>
      <c r="N10" s="14" t="str">
        <f>IF($L$1=1, " U.S. MD-granting public programs with full LCME accreditation"," U.S. MD-granting public programs with preliminary, provisional, or full LCME accreditation")</f>
        <v xml:space="preserve"> U.S. MD-granting public programs with full LCME accreditation</v>
      </c>
      <c r="P10" s="14">
        <f>IF($L$1=1,rawdata!D140,"")</f>
        <v>2562</v>
      </c>
      <c r="Q10" s="14">
        <f>IF($L$1=1,rawdata!E140,"")</f>
        <v>2639</v>
      </c>
      <c r="R10" s="14">
        <f>IF($L$1=1,rawdata!F140,"")</f>
        <v>2737</v>
      </c>
      <c r="S10" s="14">
        <f>IF($L$1=1,rawdata!G140,"")</f>
        <v>2852</v>
      </c>
      <c r="T10" s="14">
        <f>IF($L$1=1,rawdata!H140,"")</f>
        <v>2728</v>
      </c>
      <c r="U10" s="14">
        <f>IF($L$1=1,rawdata!I140,"")</f>
        <v>2737</v>
      </c>
    </row>
    <row r="11" spans="1:21" ht="12.75" customHeight="1" x14ac:dyDescent="0.2">
      <c r="B11" s="113" t="s">
        <v>21</v>
      </c>
      <c r="C11" s="114"/>
      <c r="D11" s="39">
        <f t="shared" si="1"/>
        <v>706</v>
      </c>
      <c r="E11" s="39">
        <f t="shared" si="0"/>
        <v>791</v>
      </c>
      <c r="F11" s="39">
        <f t="shared" si="0"/>
        <v>867</v>
      </c>
      <c r="G11" s="39">
        <f t="shared" si="0"/>
        <v>786</v>
      </c>
      <c r="H11" s="39">
        <f t="shared" si="0"/>
        <v>817</v>
      </c>
      <c r="I11" s="39">
        <f t="shared" si="0"/>
        <v>867</v>
      </c>
      <c r="L11" s="14" t="str">
        <f>IF($L$1=1,keywords!B45,keywords!#REF!)</f>
        <v>&lt;tab7_txt5&gt;</v>
      </c>
      <c r="M11" s="14" t="str">
        <f>VLOOKUP($L11,keywords!$B$2:$C$52,2,FALSE)</f>
        <v>89</v>
      </c>
      <c r="N11" s="14" t="str">
        <f>IF($L$1=1, "This table includes historical data from U.S.
   MD-granting public medical education programs prior to their receiving full LCME accreditation in FY "&amp;REPyear1&amp;".","")</f>
        <v>This table includes historical data from U.S.
   MD-granting public medical education programs prior to their receiving full LCME accreditation in FY 2023.</v>
      </c>
      <c r="P11" s="14">
        <f>IF($L$1=1,rawdata!D141,"")</f>
        <v>706</v>
      </c>
      <c r="Q11" s="14">
        <f>IF($L$1=1,rawdata!E141,"")</f>
        <v>791</v>
      </c>
      <c r="R11" s="14">
        <f>IF($L$1=1,rawdata!F141,"")</f>
        <v>867</v>
      </c>
      <c r="S11" s="14">
        <f>IF($L$1=1,rawdata!G141,"")</f>
        <v>786</v>
      </c>
      <c r="T11" s="14">
        <f>IF($L$1=1,rawdata!H141,"")</f>
        <v>817</v>
      </c>
      <c r="U11" s="14">
        <f>IF($L$1=1,rawdata!I141,"")</f>
        <v>867</v>
      </c>
    </row>
    <row r="12" spans="1:21" ht="12.75" customHeight="1" x14ac:dyDescent="0.2">
      <c r="B12" s="113" t="s">
        <v>22</v>
      </c>
      <c r="C12" s="114"/>
      <c r="D12" s="39">
        <f t="shared" si="1"/>
        <v>1252</v>
      </c>
      <c r="E12" s="39">
        <f t="shared" si="0"/>
        <v>1407</v>
      </c>
      <c r="F12" s="39">
        <f t="shared" si="0"/>
        <v>1541</v>
      </c>
      <c r="G12" s="39">
        <f t="shared" si="0"/>
        <v>1394</v>
      </c>
      <c r="H12" s="39">
        <f t="shared" si="0"/>
        <v>1455</v>
      </c>
      <c r="I12" s="39">
        <f t="shared" si="0"/>
        <v>1541</v>
      </c>
      <c r="L12" s="14" t="str">
        <f>IF($L$1=1,keywords!B46,keywords!#REF!)</f>
        <v>&lt;tab7_txt6&gt;</v>
      </c>
      <c r="M12" s="14" t="str">
        <f>VLOOKUP($L12,keywords!$B$2:$C$52,2,FALSE)</f>
        <v>89</v>
      </c>
      <c r="P12" s="14">
        <f>IF($L$1=1,rawdata!D142,"")</f>
        <v>1252</v>
      </c>
      <c r="Q12" s="14">
        <f>IF($L$1=1,rawdata!E142,"")</f>
        <v>1407</v>
      </c>
      <c r="R12" s="14">
        <f>IF($L$1=1,rawdata!F142,"")</f>
        <v>1541</v>
      </c>
      <c r="S12" s="14">
        <f>IF($L$1=1,rawdata!G142,"")</f>
        <v>1394</v>
      </c>
      <c r="T12" s="14">
        <f>IF($L$1=1,rawdata!H142,"")</f>
        <v>1455</v>
      </c>
      <c r="U12" s="14">
        <f>IF($L$1=1,rawdata!I142,"")</f>
        <v>1541</v>
      </c>
    </row>
    <row r="13" spans="1:21" ht="12.75" customHeight="1" x14ac:dyDescent="0.2">
      <c r="B13" s="113" t="s">
        <v>33</v>
      </c>
      <c r="C13" s="114"/>
      <c r="D13" s="39">
        <f t="shared" si="1"/>
        <v>3593</v>
      </c>
      <c r="E13" s="39">
        <f t="shared" si="0"/>
        <v>3706</v>
      </c>
      <c r="F13" s="39">
        <f t="shared" si="0"/>
        <v>3950</v>
      </c>
      <c r="G13" s="39">
        <f t="shared" si="0"/>
        <v>4000</v>
      </c>
      <c r="H13" s="39">
        <f t="shared" si="0"/>
        <v>3830</v>
      </c>
      <c r="I13" s="39">
        <f t="shared" si="0"/>
        <v>3950</v>
      </c>
      <c r="P13" s="14">
        <f>IF($L$1=1,rawdata!D143,"")</f>
        <v>3593</v>
      </c>
      <c r="Q13" s="14">
        <f>IF($L$1=1,rawdata!E143,"")</f>
        <v>3706</v>
      </c>
      <c r="R13" s="14">
        <f>IF($L$1=1,rawdata!F143,"")</f>
        <v>3950</v>
      </c>
      <c r="S13" s="14">
        <f>IF($L$1=1,rawdata!G143,"")</f>
        <v>4000</v>
      </c>
      <c r="T13" s="14">
        <f>IF($L$1=1,rawdata!H143,"")</f>
        <v>3830</v>
      </c>
      <c r="U13" s="14">
        <f>IF($L$1=1,rawdata!I143,"")</f>
        <v>3950</v>
      </c>
    </row>
    <row r="14" spans="1:21" ht="12.75" customHeight="1" x14ac:dyDescent="0.2">
      <c r="B14" s="113" t="s">
        <v>23</v>
      </c>
      <c r="C14" s="114"/>
      <c r="D14" s="39">
        <f t="shared" si="1"/>
        <v>16710</v>
      </c>
      <c r="E14" s="39">
        <f t="shared" si="0"/>
        <v>17929</v>
      </c>
      <c r="F14" s="39">
        <f t="shared" si="0"/>
        <v>19189</v>
      </c>
      <c r="G14" s="39">
        <f t="shared" si="0"/>
        <v>18608</v>
      </c>
      <c r="H14" s="39">
        <f t="shared" si="0"/>
        <v>18533</v>
      </c>
      <c r="I14" s="39">
        <f t="shared" si="0"/>
        <v>19189</v>
      </c>
      <c r="P14" s="14">
        <f>IF($L$1=1,rawdata!D144,"")</f>
        <v>16710</v>
      </c>
      <c r="Q14" s="14">
        <f>IF($L$1=1,rawdata!E144,"")</f>
        <v>17929</v>
      </c>
      <c r="R14" s="14">
        <f>IF($L$1=1,rawdata!F144,"")</f>
        <v>19189</v>
      </c>
      <c r="S14" s="14">
        <f>IF($L$1=1,rawdata!G144,"")</f>
        <v>18608</v>
      </c>
      <c r="T14" s="14">
        <f>IF($L$1=1,rawdata!H144,"")</f>
        <v>18533</v>
      </c>
      <c r="U14" s="14">
        <f>IF($L$1=1,rawdata!I144,"")</f>
        <v>19189</v>
      </c>
    </row>
    <row r="15" spans="1:21" ht="12.75" customHeight="1" x14ac:dyDescent="0.2">
      <c r="B15" s="113" t="s">
        <v>42</v>
      </c>
      <c r="C15" s="114"/>
      <c r="D15" s="39">
        <f t="shared" si="1"/>
        <v>10649</v>
      </c>
      <c r="E15" s="39">
        <f t="shared" si="0"/>
        <v>11462</v>
      </c>
      <c r="F15" s="39">
        <f t="shared" si="0"/>
        <v>12274</v>
      </c>
      <c r="G15" s="39">
        <f t="shared" si="0"/>
        <v>11858</v>
      </c>
      <c r="H15" s="39">
        <f t="shared" si="0"/>
        <v>11847</v>
      </c>
      <c r="I15" s="39">
        <f t="shared" si="0"/>
        <v>12274</v>
      </c>
      <c r="P15" s="14">
        <f>IF($L$1=1,rawdata!D145,"")</f>
        <v>10649</v>
      </c>
      <c r="Q15" s="14">
        <f>IF($L$1=1,rawdata!E145,"")</f>
        <v>11462</v>
      </c>
      <c r="R15" s="14">
        <f>IF($L$1=1,rawdata!F145,"")</f>
        <v>12274</v>
      </c>
      <c r="S15" s="14">
        <f>IF($L$1=1,rawdata!G145,"")</f>
        <v>11858</v>
      </c>
      <c r="T15" s="14">
        <f>IF($L$1=1,rawdata!H145,"")</f>
        <v>11847</v>
      </c>
      <c r="U15" s="14">
        <f>IF($L$1=1,rawdata!I145,"")</f>
        <v>12274</v>
      </c>
    </row>
    <row r="16" spans="1:21" ht="12.75" customHeight="1" x14ac:dyDescent="0.2">
      <c r="B16" s="113" t="s">
        <v>24</v>
      </c>
      <c r="C16" s="114"/>
      <c r="D16" s="39">
        <f t="shared" si="1"/>
        <v>7655</v>
      </c>
      <c r="E16" s="39">
        <f t="shared" si="0"/>
        <v>8225</v>
      </c>
      <c r="F16" s="39">
        <f t="shared" si="0"/>
        <v>8769</v>
      </c>
      <c r="G16" s="39">
        <f t="shared" si="0"/>
        <v>8524</v>
      </c>
      <c r="H16" s="39">
        <f t="shared" si="0"/>
        <v>8502</v>
      </c>
      <c r="I16" s="39">
        <f t="shared" si="0"/>
        <v>8769</v>
      </c>
      <c r="P16" s="14">
        <f>IF($L$1=1,rawdata!D146,"")</f>
        <v>7655</v>
      </c>
      <c r="Q16" s="14">
        <f>IF($L$1=1,rawdata!E146,"")</f>
        <v>8225</v>
      </c>
      <c r="R16" s="14">
        <f>IF($L$1=1,rawdata!F146,"")</f>
        <v>8769</v>
      </c>
      <c r="S16" s="14">
        <f>IF($L$1=1,rawdata!G146,"")</f>
        <v>8524</v>
      </c>
      <c r="T16" s="14">
        <f>IF($L$1=1,rawdata!H146,"")</f>
        <v>8502</v>
      </c>
      <c r="U16" s="14">
        <f>IF($L$1=1,rawdata!I146,"")</f>
        <v>8769</v>
      </c>
    </row>
    <row r="17" spans="2:21" ht="12.75" customHeight="1" x14ac:dyDescent="0.2">
      <c r="B17" s="113" t="s">
        <v>25</v>
      </c>
      <c r="C17" s="114"/>
      <c r="D17" s="39">
        <f t="shared" si="1"/>
        <v>2994</v>
      </c>
      <c r="E17" s="39">
        <f t="shared" si="0"/>
        <v>3237</v>
      </c>
      <c r="F17" s="39">
        <f t="shared" si="0"/>
        <v>3505</v>
      </c>
      <c r="G17" s="39">
        <f t="shared" si="0"/>
        <v>3334</v>
      </c>
      <c r="H17" s="39">
        <f t="shared" si="0"/>
        <v>3346</v>
      </c>
      <c r="I17" s="39">
        <f t="shared" si="0"/>
        <v>3505</v>
      </c>
      <c r="P17" s="14">
        <f>IF($L$1=1,rawdata!D147,"")</f>
        <v>2994</v>
      </c>
      <c r="Q17" s="14">
        <f>IF($L$1=1,rawdata!E147,"")</f>
        <v>3237</v>
      </c>
      <c r="R17" s="14">
        <f>IF($L$1=1,rawdata!F147,"")</f>
        <v>3505</v>
      </c>
      <c r="S17" s="14">
        <f>IF($L$1=1,rawdata!G147,"")</f>
        <v>3334</v>
      </c>
      <c r="T17" s="14">
        <f>IF($L$1=1,rawdata!H147,"")</f>
        <v>3346</v>
      </c>
      <c r="U17" s="14">
        <f>IF($L$1=1,rawdata!I147,"")</f>
        <v>3505</v>
      </c>
    </row>
    <row r="18" spans="2:21" ht="12.75" customHeight="1" x14ac:dyDescent="0.2">
      <c r="B18" s="113" t="s">
        <v>26</v>
      </c>
      <c r="C18" s="114"/>
      <c r="D18" s="39">
        <f t="shared" si="1"/>
        <v>6061</v>
      </c>
      <c r="E18" s="39">
        <f t="shared" si="0"/>
        <v>6468</v>
      </c>
      <c r="F18" s="39">
        <f t="shared" si="0"/>
        <v>6915</v>
      </c>
      <c r="G18" s="39">
        <f t="shared" si="0"/>
        <v>6750</v>
      </c>
      <c r="H18" s="39">
        <f t="shared" si="0"/>
        <v>6685</v>
      </c>
      <c r="I18" s="39">
        <f t="shared" si="0"/>
        <v>6915</v>
      </c>
      <c r="P18" s="14">
        <f>IF($L$1=1,rawdata!D148,"")</f>
        <v>6061</v>
      </c>
      <c r="Q18" s="14">
        <f>IF($L$1=1,rawdata!E148,"")</f>
        <v>6468</v>
      </c>
      <c r="R18" s="14">
        <f>IF($L$1=1,rawdata!F148,"")</f>
        <v>6915</v>
      </c>
      <c r="S18" s="14">
        <f>IF($L$1=1,rawdata!G148,"")</f>
        <v>6750</v>
      </c>
      <c r="T18" s="14">
        <f>IF($L$1=1,rawdata!H148,"")</f>
        <v>6685</v>
      </c>
      <c r="U18" s="14">
        <f>IF($L$1=1,rawdata!I148,"")</f>
        <v>6915</v>
      </c>
    </row>
    <row r="19" spans="2:21" ht="12.75" customHeight="1" x14ac:dyDescent="0.2">
      <c r="B19" s="113" t="s">
        <v>24</v>
      </c>
      <c r="C19" s="114"/>
      <c r="D19" s="39">
        <f t="shared" si="1"/>
        <v>5271</v>
      </c>
      <c r="E19" s="39">
        <f t="shared" si="0"/>
        <v>5594</v>
      </c>
      <c r="F19" s="39">
        <f t="shared" si="0"/>
        <v>6008</v>
      </c>
      <c r="G19" s="39">
        <f t="shared" si="0"/>
        <v>5869</v>
      </c>
      <c r="H19" s="39">
        <f t="shared" si="0"/>
        <v>5782</v>
      </c>
      <c r="I19" s="39">
        <f t="shared" si="0"/>
        <v>6008</v>
      </c>
      <c r="P19" s="14">
        <f>IF($L$1=1,rawdata!D149,"")</f>
        <v>5271</v>
      </c>
      <c r="Q19" s="14">
        <f>IF($L$1=1,rawdata!E149,"")</f>
        <v>5594</v>
      </c>
      <c r="R19" s="14">
        <f>IF($L$1=1,rawdata!F149,"")</f>
        <v>6008</v>
      </c>
      <c r="S19" s="14">
        <f>IF($L$1=1,rawdata!G149,"")</f>
        <v>5869</v>
      </c>
      <c r="T19" s="14">
        <f>IF($L$1=1,rawdata!H149,"")</f>
        <v>5782</v>
      </c>
      <c r="U19" s="14">
        <f>IF($L$1=1,rawdata!I149,"")</f>
        <v>6008</v>
      </c>
    </row>
    <row r="20" spans="2:21" ht="12.75" customHeight="1" x14ac:dyDescent="0.2">
      <c r="B20" s="113" t="s">
        <v>25</v>
      </c>
      <c r="C20" s="114"/>
      <c r="D20" s="39">
        <f t="shared" si="1"/>
        <v>791</v>
      </c>
      <c r="E20" s="39">
        <f t="shared" si="0"/>
        <v>873</v>
      </c>
      <c r="F20" s="39">
        <f t="shared" si="0"/>
        <v>907</v>
      </c>
      <c r="G20" s="39">
        <f t="shared" si="0"/>
        <v>881</v>
      </c>
      <c r="H20" s="39">
        <f t="shared" si="0"/>
        <v>903</v>
      </c>
      <c r="I20" s="39">
        <f t="shared" si="0"/>
        <v>907</v>
      </c>
      <c r="P20" s="14">
        <f>IF($L$1=1,rawdata!D150,"")</f>
        <v>791</v>
      </c>
      <c r="Q20" s="14">
        <f>IF($L$1=1,rawdata!E150,"")</f>
        <v>873</v>
      </c>
      <c r="R20" s="14">
        <f>IF($L$1=1,rawdata!F150,"")</f>
        <v>907</v>
      </c>
      <c r="S20" s="14">
        <f>IF($L$1=1,rawdata!G150,"")</f>
        <v>881</v>
      </c>
      <c r="T20" s="14">
        <f>IF($L$1=1,rawdata!H150,"")</f>
        <v>903</v>
      </c>
      <c r="U20" s="14">
        <f>IF($L$1=1,rawdata!I150,"")</f>
        <v>907</v>
      </c>
    </row>
    <row r="21" spans="2:21" ht="12.75" customHeight="1" x14ac:dyDescent="0.2">
      <c r="B21" s="115" t="s">
        <v>27</v>
      </c>
      <c r="C21" s="116"/>
      <c r="D21" s="78">
        <f t="shared" si="1"/>
        <v>75543</v>
      </c>
      <c r="E21" s="78">
        <f t="shared" si="0"/>
        <v>80380</v>
      </c>
      <c r="F21" s="78">
        <f t="shared" si="0"/>
        <v>86794</v>
      </c>
      <c r="G21" s="78">
        <f t="shared" si="0"/>
        <v>84119</v>
      </c>
      <c r="H21" s="78">
        <f t="shared" si="0"/>
        <v>83086</v>
      </c>
      <c r="I21" s="78">
        <f t="shared" si="0"/>
        <v>86794</v>
      </c>
      <c r="P21" s="14">
        <f>IF($L$1=1,rawdata!D151,"")</f>
        <v>75543</v>
      </c>
      <c r="Q21" s="14">
        <f>IF($L$1=1,rawdata!E151,"")</f>
        <v>80380</v>
      </c>
      <c r="R21" s="14">
        <f>IF($L$1=1,rawdata!F151,"")</f>
        <v>86794</v>
      </c>
      <c r="S21" s="14">
        <f>IF($L$1=1,rawdata!G151,"")</f>
        <v>84119</v>
      </c>
      <c r="T21" s="14">
        <f>IF($L$1=1,rawdata!H151,"")</f>
        <v>83086</v>
      </c>
      <c r="U21" s="14">
        <f>IF($L$1=1,rawdata!I151,"")</f>
        <v>86794</v>
      </c>
    </row>
    <row r="22" spans="2:21" ht="12.75" customHeight="1" x14ac:dyDescent="0.2">
      <c r="B22" s="54"/>
      <c r="C22" s="54"/>
      <c r="D22" s="48"/>
      <c r="E22" s="48"/>
      <c r="F22" s="48"/>
      <c r="G22" s="48"/>
      <c r="H22" s="55"/>
      <c r="I22" s="55"/>
    </row>
    <row r="23" spans="2:21" s="56" customFormat="1" ht="71.25" customHeight="1" x14ac:dyDescent="0.2">
      <c r="B23" s="101" t="str">
        <f>"*Includes Practice Plan, Network Affiliation, and Other Medical Service Organization Funds. Practice Plan revenues from affiliated hospitals are reported with Hospital Purchased Services 
   &amp; Support: $"&amp;M7&amp;" million total revenue (FY "&amp;REPyear1&amp;"), $"&amp;M8&amp;" million total revenue (FY "&amp;REPFY1&amp;"), and $"&amp;M9&amp;" million total revenue (FY "&amp;REPFY2&amp;"). 
†Includes Sales and Services, Royalties, Consulting, Interest Income, Gains (Losses) on Investments, Leases/Rentals, and Other Miscellaneous "&amp;"
   Revenues.
Totals may not sum due to rounding."</f>
        <v>*Includes Practice Plan, Network Affiliation, and Other Medical Service Organization Funds. Practice Plan revenues from affiliated hospitals are reported with Hospital Purchased Services 
   &amp; Support: $9,191 million total revenue (FY 2023), $7,978 million total revenue (FY 2022), and $7,214 million total revenue (FY 2021). 
†Includes Sales and Services, Royalties, Consulting, Interest Income, Gains (Losses) on Investments, Leases/Rentals, and Other Miscellaneous 
   Revenues.
Totals may not sum due to rounding.</v>
      </c>
      <c r="C23" s="101"/>
      <c r="D23" s="101"/>
      <c r="E23" s="101"/>
      <c r="F23" s="101"/>
      <c r="G23" s="101"/>
      <c r="H23" s="101"/>
      <c r="I23" s="101"/>
    </row>
    <row r="24" spans="2:21" ht="56.25" customHeight="1" x14ac:dyDescent="0.2">
      <c r="B24" s="101" t="str">
        <f>"There were "&amp;M10&amp;", "&amp;M11&amp;", and "&amp;M12&amp;N10&amp;" in FY "&amp;REPyear1&amp;", FY "&amp;REPFY1&amp;", and FY "&amp;REPFY2&amp;", respectively. "&amp;N11&amp;" 
In order to maintain the confidentiality of medical schools in breakouts with fewer than five medical schools, summary tables including public medical school and private "&amp;"medical school
   details only show data from medical education programs with full LCME accreditation. "</f>
        <v xml:space="preserve">There were 91, 89, and 89 U.S. MD-granting public programs with full LCME accreditation in FY 2023, FY 2022, and FY 2021, respectively. This table includes historical data from U.S.
   MD-granting public medical education programs prior to their receiving full LCME accreditation in FY 2023. 
In order to maintain the confidentiality of medical schools in breakouts with fewer than five medical schools, summary tables including public medical school and private medical school
   details only show data from medical education programs with full LCME accreditation. </v>
      </c>
      <c r="C24" s="101"/>
      <c r="D24" s="101"/>
      <c r="E24" s="101"/>
      <c r="F24" s="101"/>
      <c r="G24" s="101"/>
      <c r="H24" s="101"/>
      <c r="I24" s="101"/>
    </row>
    <row r="25" spans="2:21" x14ac:dyDescent="0.2">
      <c r="B25" s="24"/>
      <c r="C25" s="24"/>
      <c r="D25" s="44"/>
      <c r="E25" s="45"/>
      <c r="F25" s="45"/>
      <c r="G25" s="46"/>
    </row>
    <row r="26" spans="2:21" x14ac:dyDescent="0.2">
      <c r="B26" s="98" t="str">
        <f>"Source: "&amp;ReportSource&amp;" Prepared by the AAMC "&amp;ReportDate&amp;UpdatedDate</f>
        <v>Source: LCME Part I-A Annual Medical School Financial Questionnaire (AFQ), FY 2023. Prepared by the AAMC June 2024.</v>
      </c>
      <c r="C26" s="98"/>
      <c r="D26" s="98"/>
      <c r="E26" s="98"/>
      <c r="F26" s="98"/>
      <c r="G26" s="64"/>
      <c r="H26" s="64"/>
      <c r="I26" s="64"/>
    </row>
    <row r="27" spans="2:21" x14ac:dyDescent="0.2">
      <c r="B27" s="98" t="s">
        <v>103</v>
      </c>
      <c r="C27" s="98"/>
      <c r="D27" s="64"/>
      <c r="E27" s="64"/>
      <c r="F27" s="64"/>
      <c r="G27" s="64"/>
      <c r="H27" s="64"/>
      <c r="I27" s="64"/>
    </row>
    <row r="28" spans="2:21" x14ac:dyDescent="0.2">
      <c r="B28" s="98" t="str">
        <f>Copyright</f>
        <v>©2024 Association of American Medical Colleges. All rights reserved.</v>
      </c>
      <c r="C28" s="98"/>
      <c r="D28" s="98"/>
      <c r="E28" s="64"/>
      <c r="F28" s="64"/>
      <c r="G28" s="64"/>
      <c r="H28" s="64"/>
      <c r="I28" s="64"/>
    </row>
    <row r="29" spans="2:21" x14ac:dyDescent="0.2"/>
    <row r="30" spans="2:21" x14ac:dyDescent="0.2"/>
    <row r="31" spans="2:21" x14ac:dyDescent="0.2"/>
  </sheetData>
  <sheetProtection algorithmName="SHA-512" hashValue="C0xUQfVdaCVhN+GEI6dmZBhV1QlD2qfTaEFpei5CDjL7UXLoRZLs2yDFVlOvJSWLozqMIuYCFTfpq8YqPOjwWw==" saltValue="PB1EKcVDYqHfUV1+FTYG9A==" spinCount="100000" sheet="1" objects="1" scenarios="1"/>
  <mergeCells count="25">
    <mergeCell ref="B28:D28"/>
    <mergeCell ref="B27:C27"/>
    <mergeCell ref="A1:B2"/>
    <mergeCell ref="B14:C14"/>
    <mergeCell ref="B15:C15"/>
    <mergeCell ref="B16:C16"/>
    <mergeCell ref="B9:C9"/>
    <mergeCell ref="B10:C10"/>
    <mergeCell ref="B11:C11"/>
    <mergeCell ref="B12:C12"/>
    <mergeCell ref="B13:C13"/>
    <mergeCell ref="D5:F5"/>
    <mergeCell ref="B23:I23"/>
    <mergeCell ref="G5:I5"/>
    <mergeCell ref="B5:C6"/>
    <mergeCell ref="B7:C7"/>
    <mergeCell ref="B4:I4"/>
    <mergeCell ref="B26:F26"/>
    <mergeCell ref="B8:C8"/>
    <mergeCell ref="B24:I24"/>
    <mergeCell ref="B19:C19"/>
    <mergeCell ref="B20:C20"/>
    <mergeCell ref="B21:C21"/>
    <mergeCell ref="B17:C17"/>
    <mergeCell ref="B18:C18"/>
  </mergeCells>
  <conditionalFormatting sqref="B7:I20">
    <cfRule type="expression" dxfId="3" priority="6">
      <formula>MOD(ROW(),2)=1</formula>
    </cfRule>
  </conditionalFormatting>
  <conditionalFormatting sqref="D6:I20">
    <cfRule type="expression" dxfId="2" priority="2">
      <formula>MOD(COLUMN(),2)=0</formula>
    </cfRule>
  </conditionalFormatting>
  <hyperlinks>
    <hyperlink ref="B27:C27" r:id="rId1" display="Contact: AFQ@aamc.org" xr:uid="{95980C40-F51D-4C70-88AD-545DC3B25926}"/>
  </hyperlinks>
  <printOptions horizontalCentered="1"/>
  <pageMargins left="0.75" right="0.75" top="1" bottom="1" header="0.5" footer="0.5"/>
  <pageSetup scale="86" orientation="landscape" r:id="rId2"/>
  <headerFooter alignWithMargins="0"/>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89854-79C0-4C07-AB40-AEB03F7D37E0}">
  <sheetPr codeName="Sheet8"/>
  <dimension ref="A1:V31"/>
  <sheetViews>
    <sheetView showGridLines="0" zoomScaleNormal="100" workbookViewId="0">
      <selection sqref="A1:B2"/>
    </sheetView>
  </sheetViews>
  <sheetFormatPr defaultColWidth="0" defaultRowHeight="12.75" zeroHeight="1" x14ac:dyDescent="0.2"/>
  <cols>
    <col min="1" max="1" width="1.42578125" style="13" customWidth="1"/>
    <col min="2" max="2" width="7.42578125" style="13" customWidth="1"/>
    <col min="3" max="3" width="45" style="13" customWidth="1"/>
    <col min="4" max="4" width="15.28515625" style="17" customWidth="1"/>
    <col min="5" max="6" width="15.28515625" style="18" customWidth="1"/>
    <col min="7" max="7" width="15.28515625" style="19" customWidth="1"/>
    <col min="8" max="9" width="15.28515625" style="13" customWidth="1"/>
    <col min="10" max="10" width="2.85546875" style="13" customWidth="1"/>
    <col min="11" max="11" width="1.42578125" style="13" customWidth="1"/>
    <col min="12" max="16384" width="9.140625" style="13" hidden="1"/>
  </cols>
  <sheetData>
    <row r="1" spans="1:22" ht="19.5" customHeight="1" x14ac:dyDescent="0.25">
      <c r="A1" s="88" t="str">
        <f ca="1">"TABLE"&amp;CHAR(10)&amp;VLOOKUP(MID(CELL("filename",A1),FIND("]",CELL("filename",A1))+1,255),CHOOSE({2,1},ref!A21:A33,ref!B21:B33),2,0)</f>
        <v>TABLE
8</v>
      </c>
      <c r="B1" s="88"/>
      <c r="C1" s="65" t="str">
        <f>ref!C29</f>
        <v>Revenues Supporting Programs and Activities at Private U.S. Medical Schools, FY 2021 through FY 2023 ($ in Millions)</v>
      </c>
      <c r="D1" s="65"/>
      <c r="E1" s="65"/>
      <c r="F1" s="65"/>
      <c r="G1" s="65"/>
      <c r="H1" s="65"/>
      <c r="I1" s="65"/>
      <c r="L1" s="70">
        <v>1</v>
      </c>
    </row>
    <row r="2" spans="1:22" ht="15" customHeight="1" x14ac:dyDescent="0.25">
      <c r="A2" s="88"/>
      <c r="B2" s="88"/>
      <c r="C2" s="65" t="str">
        <f>L2</f>
        <v>U.S. MD-Granting Medical Education Programs with Full LCME Accreditation</v>
      </c>
      <c r="D2" s="65"/>
      <c r="E2" s="65"/>
      <c r="F2" s="65"/>
      <c r="G2" s="65"/>
      <c r="H2" s="65"/>
      <c r="I2" s="65"/>
      <c r="L2" s="70" t="str">
        <f>VLOOKUP((L1-1),ref!F2:G3,2,FALSE)</f>
        <v>U.S. MD-Granting Medical Education Programs with Full LCME Accreditation</v>
      </c>
    </row>
    <row r="3" spans="1:22" ht="12.75" customHeight="1" x14ac:dyDescent="0.25">
      <c r="D3" s="29"/>
      <c r="E3" s="37"/>
      <c r="F3" s="37"/>
      <c r="G3" s="31"/>
      <c r="H3" s="14"/>
      <c r="I3" s="14"/>
    </row>
    <row r="4" spans="1:22" ht="12.75" customHeight="1" x14ac:dyDescent="0.2">
      <c r="B4" s="102" t="str">
        <f>VLOOKUP((L1-1),ref!F2:G3,2,FALSE)</f>
        <v>U.S. MD-Granting Medical Education Programs with Full LCME Accreditation</v>
      </c>
      <c r="C4" s="103"/>
      <c r="D4" s="103"/>
      <c r="E4" s="103"/>
      <c r="F4" s="103"/>
      <c r="G4" s="103"/>
      <c r="H4" s="103"/>
      <c r="I4" s="104"/>
    </row>
    <row r="5" spans="1:22" ht="12.75" customHeight="1" x14ac:dyDescent="0.2">
      <c r="B5" s="117" t="s">
        <v>12</v>
      </c>
      <c r="C5" s="118"/>
      <c r="D5" s="122" t="s">
        <v>31</v>
      </c>
      <c r="E5" s="122"/>
      <c r="F5" s="123"/>
      <c r="G5" s="122" t="str">
        <f>"FY "&amp;REPyear1&amp;" Constant Dollars"</f>
        <v>FY 2023 Constant Dollars</v>
      </c>
      <c r="H5" s="122"/>
      <c r="I5" s="123"/>
    </row>
    <row r="6" spans="1:22" ht="27" customHeight="1" x14ac:dyDescent="0.2">
      <c r="B6" s="119"/>
      <c r="C6" s="120"/>
      <c r="D6" s="82" t="str">
        <f>"FY "&amp;REPFY2&amp;"
All Revenue"</f>
        <v>FY 2021
All Revenue</v>
      </c>
      <c r="E6" s="20" t="str">
        <f>"FY "&amp;REPFY1&amp;"
All Revenue"</f>
        <v>FY 2022
All Revenue</v>
      </c>
      <c r="F6" s="38" t="str">
        <f>"FY "&amp;REPyear1&amp;"
All Revenue"</f>
        <v>FY 2023
All Revenue</v>
      </c>
      <c r="G6" s="82" t="str">
        <f>"FY "&amp;REPFY2&amp;"
All Revenue"</f>
        <v>FY 2021
All Revenue</v>
      </c>
      <c r="H6" s="20" t="str">
        <f>"FY "&amp;REPFY1&amp;"
All Revenue"</f>
        <v>FY 2022
All Revenue</v>
      </c>
      <c r="I6" s="38" t="str">
        <f>"FY "&amp;REPyear1&amp;"
All Revenue"</f>
        <v>FY 2023
All Revenue</v>
      </c>
    </row>
    <row r="7" spans="1:22" ht="12.75" customHeight="1" x14ac:dyDescent="0.2">
      <c r="B7" s="113" t="s">
        <v>17</v>
      </c>
      <c r="C7" s="114"/>
      <c r="D7" s="39">
        <f>P7</f>
        <v>43487</v>
      </c>
      <c r="E7" s="40">
        <f t="shared" ref="E7:I21" si="0">Q7</f>
        <v>46347</v>
      </c>
      <c r="F7" s="39">
        <f t="shared" si="0"/>
        <v>50065</v>
      </c>
      <c r="G7" s="39">
        <f t="shared" si="0"/>
        <v>48424</v>
      </c>
      <c r="H7" s="40">
        <f t="shared" si="0"/>
        <v>47908</v>
      </c>
      <c r="I7" s="39">
        <f t="shared" si="0"/>
        <v>50065</v>
      </c>
      <c r="L7" s="13" t="str">
        <f>IF($L$1=1,keywords!B47,keywords!#REF!)</f>
        <v>&lt;tab8_txt1&gt;</v>
      </c>
      <c r="M7" s="13" t="str">
        <f>VLOOKUP($L7,keywords!$B$2:$C$52,2,FALSE)</f>
        <v>6,962</v>
      </c>
      <c r="P7" s="13">
        <f>IF($L$1=1,rawdata!D152,"")</f>
        <v>43487</v>
      </c>
      <c r="Q7" s="13">
        <f>IF($L$1=1,rawdata!E152,"")</f>
        <v>46347</v>
      </c>
      <c r="R7" s="13">
        <f>IF($L$1=1,rawdata!F152,"")</f>
        <v>50065</v>
      </c>
      <c r="S7" s="13">
        <f>IF($L$1=1,rawdata!G152,"")</f>
        <v>48424</v>
      </c>
      <c r="T7" s="13">
        <f>IF($L$1=1,rawdata!H152,"")</f>
        <v>47908</v>
      </c>
      <c r="U7" s="13">
        <f>IF($L$1=1,rawdata!I152,"")</f>
        <v>50065</v>
      </c>
    </row>
    <row r="8" spans="1:22" ht="12.75" customHeight="1" x14ac:dyDescent="0.2">
      <c r="B8" s="113" t="s">
        <v>18</v>
      </c>
      <c r="C8" s="114"/>
      <c r="D8" s="39">
        <f t="shared" ref="D8:D21" si="1">P8</f>
        <v>16671</v>
      </c>
      <c r="E8" s="40">
        <f t="shared" si="0"/>
        <v>17638</v>
      </c>
      <c r="F8" s="39">
        <f t="shared" si="0"/>
        <v>18960</v>
      </c>
      <c r="G8" s="39">
        <f t="shared" si="0"/>
        <v>18563</v>
      </c>
      <c r="H8" s="40">
        <f t="shared" si="0"/>
        <v>18231</v>
      </c>
      <c r="I8" s="39">
        <f t="shared" si="0"/>
        <v>18960</v>
      </c>
      <c r="L8" s="13" t="str">
        <f>IF($L$1=1,keywords!B48,keywords!#REF!)</f>
        <v>&lt;tab8_txt2&gt;</v>
      </c>
      <c r="M8" s="13" t="str">
        <f>VLOOKUP($L8,keywords!$B$2:$C$52,2,FALSE)</f>
        <v>6,326</v>
      </c>
      <c r="P8" s="13">
        <f>IF($L$1=1,rawdata!D153,"")</f>
        <v>16671</v>
      </c>
      <c r="Q8" s="13">
        <f>IF($L$1=1,rawdata!E153,"")</f>
        <v>17638</v>
      </c>
      <c r="R8" s="13">
        <f>IF($L$1=1,rawdata!F153,"")</f>
        <v>18960</v>
      </c>
      <c r="S8" s="13">
        <f>IF($L$1=1,rawdata!G153,"")</f>
        <v>18563</v>
      </c>
      <c r="T8" s="13">
        <f>IF($L$1=1,rawdata!H153,"")</f>
        <v>18231</v>
      </c>
      <c r="U8" s="13">
        <f>IF($L$1=1,rawdata!I153,"")</f>
        <v>18960</v>
      </c>
    </row>
    <row r="9" spans="1:22" ht="12.75" customHeight="1" x14ac:dyDescent="0.2">
      <c r="B9" s="113" t="s">
        <v>19</v>
      </c>
      <c r="C9" s="114"/>
      <c r="D9" s="39">
        <f t="shared" si="1"/>
        <v>958</v>
      </c>
      <c r="E9" s="40">
        <f t="shared" si="0"/>
        <v>824</v>
      </c>
      <c r="F9" s="39">
        <f t="shared" si="0"/>
        <v>722</v>
      </c>
      <c r="G9" s="39">
        <f t="shared" si="0"/>
        <v>1066</v>
      </c>
      <c r="H9" s="40">
        <f t="shared" si="0"/>
        <v>852</v>
      </c>
      <c r="I9" s="39">
        <f t="shared" si="0"/>
        <v>722</v>
      </c>
      <c r="L9" s="13" t="str">
        <f>IF($L$1=1,keywords!B49,keywords!#REF!)</f>
        <v>&lt;tab8_txt3&gt;</v>
      </c>
      <c r="M9" s="13" t="str">
        <f>VLOOKUP($L9,keywords!$B$2:$C$52,2,FALSE)</f>
        <v>5,856</v>
      </c>
      <c r="P9" s="13">
        <f>IF($L$1=1,rawdata!D154,"")</f>
        <v>958</v>
      </c>
      <c r="Q9" s="13">
        <f>IF($L$1=1,rawdata!E154,"")</f>
        <v>824</v>
      </c>
      <c r="R9" s="13">
        <f>IF($L$1=1,rawdata!F154,"")</f>
        <v>722</v>
      </c>
      <c r="S9" s="13">
        <f>IF($L$1=1,rawdata!G154,"")</f>
        <v>1066</v>
      </c>
      <c r="T9" s="13">
        <f>IF($L$1=1,rawdata!H154,"")</f>
        <v>852</v>
      </c>
      <c r="U9" s="13">
        <f>IF($L$1=1,rawdata!I154,"")</f>
        <v>722</v>
      </c>
    </row>
    <row r="10" spans="1:22" ht="12.75" customHeight="1" x14ac:dyDescent="0.2">
      <c r="B10" s="113" t="s">
        <v>20</v>
      </c>
      <c r="C10" s="114"/>
      <c r="D10" s="39">
        <f t="shared" si="1"/>
        <v>3034</v>
      </c>
      <c r="E10" s="40">
        <f t="shared" si="0"/>
        <v>3202</v>
      </c>
      <c r="F10" s="39">
        <f t="shared" si="0"/>
        <v>3361</v>
      </c>
      <c r="G10" s="39">
        <f t="shared" si="0"/>
        <v>3378</v>
      </c>
      <c r="H10" s="40">
        <f t="shared" si="0"/>
        <v>3310</v>
      </c>
      <c r="I10" s="39">
        <f t="shared" si="0"/>
        <v>3361</v>
      </c>
      <c r="L10" s="13" t="str">
        <f>IF($L$1=1,keywords!B50,keywords!#REF!)</f>
        <v>&lt;tab8_txt4&gt;</v>
      </c>
      <c r="M10" s="13" t="str">
        <f>VLOOKUP($L10,keywords!$B$2:$C$52,2,FALSE)</f>
        <v>59</v>
      </c>
      <c r="N10" s="13" t="str">
        <f>IF($L$1=1, " U.S. MD-granting private programs with full LCME accreditation"," U.S. MD-granting private programs with preliminary, provisional, or full LCME accreditation")</f>
        <v xml:space="preserve"> U.S. MD-granting private programs with full LCME accreditation</v>
      </c>
      <c r="P10" s="13">
        <f>IF($L$1=1,rawdata!D155,"")</f>
        <v>3034</v>
      </c>
      <c r="Q10" s="13">
        <f>IF($L$1=1,rawdata!E155,"")</f>
        <v>3202</v>
      </c>
      <c r="R10" s="13">
        <f>IF($L$1=1,rawdata!F155,"")</f>
        <v>3361</v>
      </c>
      <c r="S10" s="13">
        <f>IF($L$1=1,rawdata!G155,"")</f>
        <v>3378</v>
      </c>
      <c r="T10" s="13">
        <f>IF($L$1=1,rawdata!H155,"")</f>
        <v>3310</v>
      </c>
      <c r="U10" s="13">
        <f>IF($L$1=1,rawdata!I155,"")</f>
        <v>3361</v>
      </c>
    </row>
    <row r="11" spans="1:22" ht="12.75" customHeight="1" x14ac:dyDescent="0.2">
      <c r="B11" s="113" t="s">
        <v>21</v>
      </c>
      <c r="C11" s="114"/>
      <c r="D11" s="39">
        <f t="shared" si="1"/>
        <v>1849</v>
      </c>
      <c r="E11" s="40">
        <f t="shared" si="0"/>
        <v>2012</v>
      </c>
      <c r="F11" s="39">
        <f t="shared" si="0"/>
        <v>2260</v>
      </c>
      <c r="G11" s="39">
        <f t="shared" si="0"/>
        <v>2059</v>
      </c>
      <c r="H11" s="40">
        <f t="shared" si="0"/>
        <v>2080</v>
      </c>
      <c r="I11" s="39">
        <f t="shared" si="0"/>
        <v>2260</v>
      </c>
      <c r="L11" s="13" t="str">
        <f>IF($L$1=1,keywords!B51,keywords!#REF!)</f>
        <v>&lt;tab8_txt5&gt;</v>
      </c>
      <c r="M11" s="13" t="str">
        <f>VLOOKUP($L11,keywords!$B$2:$C$52,2,FALSE)</f>
        <v>55</v>
      </c>
      <c r="N11" s="13" t="str">
        <f>IF($L$1=1, "This table includes historical data from U.S.
   MD-granting private medical education programs prior to their receiving full LCME accreditation in FY "&amp;REPyear1&amp;".","")</f>
        <v>This table includes historical data from U.S.
   MD-granting private medical education programs prior to their receiving full LCME accreditation in FY 2023.</v>
      </c>
      <c r="P11" s="13">
        <f>IF($L$1=1,rawdata!D156,"")</f>
        <v>1849</v>
      </c>
      <c r="Q11" s="13">
        <f>IF($L$1=1,rawdata!E156,"")</f>
        <v>2012</v>
      </c>
      <c r="R11" s="13">
        <f>IF($L$1=1,rawdata!F156,"")</f>
        <v>2260</v>
      </c>
      <c r="S11" s="13">
        <f>IF($L$1=1,rawdata!G156,"")</f>
        <v>2059</v>
      </c>
      <c r="T11" s="13">
        <f>IF($L$1=1,rawdata!H156,"")</f>
        <v>2080</v>
      </c>
      <c r="U11" s="13">
        <f>IF($L$1=1,rawdata!I156,"")</f>
        <v>2260</v>
      </c>
    </row>
    <row r="12" spans="1:22" ht="12.75" customHeight="1" x14ac:dyDescent="0.2">
      <c r="B12" s="113" t="s">
        <v>22</v>
      </c>
      <c r="C12" s="114"/>
      <c r="D12" s="39">
        <f t="shared" si="1"/>
        <v>1513</v>
      </c>
      <c r="E12" s="40">
        <f t="shared" si="0"/>
        <v>1552</v>
      </c>
      <c r="F12" s="39">
        <f t="shared" si="0"/>
        <v>1754</v>
      </c>
      <c r="G12" s="39">
        <f t="shared" si="0"/>
        <v>1685</v>
      </c>
      <c r="H12" s="40">
        <f t="shared" si="0"/>
        <v>1604</v>
      </c>
      <c r="I12" s="39">
        <f t="shared" si="0"/>
        <v>1754</v>
      </c>
      <c r="L12" s="13" t="str">
        <f>IF($L$1=1,keywords!B52,keywords!#REF!)</f>
        <v>&lt;tab8_txt6&gt;</v>
      </c>
      <c r="M12" s="13" t="str">
        <f>VLOOKUP($L12,keywords!$B$2:$C$52,2,FALSE)</f>
        <v>55</v>
      </c>
      <c r="P12" s="13">
        <f>IF($L$1=1,rawdata!D157,"")</f>
        <v>1513</v>
      </c>
      <c r="Q12" s="13">
        <f>IF($L$1=1,rawdata!E157,"")</f>
        <v>1552</v>
      </c>
      <c r="R12" s="13">
        <f>IF($L$1=1,rawdata!F157,"")</f>
        <v>1754</v>
      </c>
      <c r="S12" s="13">
        <f>IF($L$1=1,rawdata!G157,"")</f>
        <v>1685</v>
      </c>
      <c r="T12" s="13">
        <f>IF($L$1=1,rawdata!H157,"")</f>
        <v>1604</v>
      </c>
      <c r="U12" s="13">
        <f>IF($L$1=1,rawdata!I157,"")</f>
        <v>1754</v>
      </c>
    </row>
    <row r="13" spans="1:22" s="14" customFormat="1" ht="12.75" customHeight="1" x14ac:dyDescent="0.2">
      <c r="B13" s="113" t="s">
        <v>33</v>
      </c>
      <c r="C13" s="114"/>
      <c r="D13" s="39">
        <f t="shared" si="1"/>
        <v>2683</v>
      </c>
      <c r="E13" s="40">
        <f t="shared" si="0"/>
        <v>3000</v>
      </c>
      <c r="F13" s="39">
        <f t="shared" si="0"/>
        <v>3000</v>
      </c>
      <c r="G13" s="39">
        <f t="shared" si="0"/>
        <v>2988</v>
      </c>
      <c r="H13" s="40">
        <f t="shared" si="0"/>
        <v>3101</v>
      </c>
      <c r="I13" s="39">
        <f t="shared" si="0"/>
        <v>3000</v>
      </c>
      <c r="P13" s="13">
        <f>IF($L$1=1,rawdata!D158,"")</f>
        <v>2683</v>
      </c>
      <c r="Q13" s="13">
        <f>IF($L$1=1,rawdata!E158,"")</f>
        <v>3000</v>
      </c>
      <c r="R13" s="13">
        <f>IF($L$1=1,rawdata!F158,"")</f>
        <v>3000</v>
      </c>
      <c r="S13" s="13">
        <f>IF($L$1=1,rawdata!G158,"")</f>
        <v>2988</v>
      </c>
      <c r="T13" s="13">
        <f>IF($L$1=1,rawdata!H158,"")</f>
        <v>3101</v>
      </c>
      <c r="U13" s="13">
        <f>IF($L$1=1,rawdata!I158,"")</f>
        <v>3000</v>
      </c>
      <c r="V13" s="13"/>
    </row>
    <row r="14" spans="1:22" ht="12.75" customHeight="1" x14ac:dyDescent="0.2">
      <c r="B14" s="113" t="s">
        <v>23</v>
      </c>
      <c r="C14" s="114"/>
      <c r="D14" s="39">
        <f t="shared" si="1"/>
        <v>21379</v>
      </c>
      <c r="E14" s="40">
        <f t="shared" si="0"/>
        <v>25504</v>
      </c>
      <c r="F14" s="39">
        <f t="shared" si="0"/>
        <v>25131</v>
      </c>
      <c r="G14" s="39">
        <f t="shared" si="0"/>
        <v>23806</v>
      </c>
      <c r="H14" s="40">
        <f t="shared" si="0"/>
        <v>26363</v>
      </c>
      <c r="I14" s="39">
        <f t="shared" si="0"/>
        <v>25131</v>
      </c>
      <c r="P14" s="13">
        <f>IF($L$1=1,rawdata!D159,"")</f>
        <v>21379</v>
      </c>
      <c r="Q14" s="13">
        <f>IF($L$1=1,rawdata!E159,"")</f>
        <v>25504</v>
      </c>
      <c r="R14" s="13">
        <f>IF($L$1=1,rawdata!F159,"")</f>
        <v>25131</v>
      </c>
      <c r="S14" s="13">
        <f>IF($L$1=1,rawdata!G159,"")</f>
        <v>23806</v>
      </c>
      <c r="T14" s="13">
        <f>IF($L$1=1,rawdata!H159,"")</f>
        <v>26363</v>
      </c>
      <c r="U14" s="13">
        <f>IF($L$1=1,rawdata!I159,"")</f>
        <v>25131</v>
      </c>
    </row>
    <row r="15" spans="1:22" ht="12.75" customHeight="1" x14ac:dyDescent="0.2">
      <c r="B15" s="113" t="s">
        <v>42</v>
      </c>
      <c r="C15" s="114"/>
      <c r="D15" s="39">
        <f t="shared" si="1"/>
        <v>13401</v>
      </c>
      <c r="E15" s="40">
        <f t="shared" si="0"/>
        <v>14544</v>
      </c>
      <c r="F15" s="39">
        <f t="shared" si="0"/>
        <v>15997</v>
      </c>
      <c r="G15" s="39">
        <f t="shared" si="0"/>
        <v>14923</v>
      </c>
      <c r="H15" s="40">
        <f t="shared" si="0"/>
        <v>15034</v>
      </c>
      <c r="I15" s="39">
        <f t="shared" si="0"/>
        <v>15997</v>
      </c>
      <c r="P15" s="13">
        <f>IF($L$1=1,rawdata!D160,"")</f>
        <v>13401</v>
      </c>
      <c r="Q15" s="13">
        <f>IF($L$1=1,rawdata!E160,"")</f>
        <v>14544</v>
      </c>
      <c r="R15" s="13">
        <f>IF($L$1=1,rawdata!F160,"")</f>
        <v>15997</v>
      </c>
      <c r="S15" s="13">
        <f>IF($L$1=1,rawdata!G160,"")</f>
        <v>14923</v>
      </c>
      <c r="T15" s="13">
        <f>IF($L$1=1,rawdata!H160,"")</f>
        <v>15034</v>
      </c>
      <c r="U15" s="13">
        <f>IF($L$1=1,rawdata!I160,"")</f>
        <v>15997</v>
      </c>
    </row>
    <row r="16" spans="1:22" ht="12.75" customHeight="1" x14ac:dyDescent="0.2">
      <c r="B16" s="113" t="s">
        <v>24</v>
      </c>
      <c r="C16" s="114"/>
      <c r="D16" s="39">
        <f t="shared" si="1"/>
        <v>9471</v>
      </c>
      <c r="E16" s="40">
        <f t="shared" si="0"/>
        <v>10247</v>
      </c>
      <c r="F16" s="39">
        <f t="shared" si="0"/>
        <v>11322</v>
      </c>
      <c r="G16" s="39">
        <f t="shared" si="0"/>
        <v>10546</v>
      </c>
      <c r="H16" s="40">
        <f t="shared" si="0"/>
        <v>10592</v>
      </c>
      <c r="I16" s="39">
        <f t="shared" si="0"/>
        <v>11322</v>
      </c>
      <c r="P16" s="13">
        <f>IF($L$1=1,rawdata!D161,"")</f>
        <v>9471</v>
      </c>
      <c r="Q16" s="13">
        <f>IF($L$1=1,rawdata!E161,"")</f>
        <v>10247</v>
      </c>
      <c r="R16" s="13">
        <f>IF($L$1=1,rawdata!F161,"")</f>
        <v>11322</v>
      </c>
      <c r="S16" s="13">
        <f>IF($L$1=1,rawdata!G161,"")</f>
        <v>10546</v>
      </c>
      <c r="T16" s="13">
        <f>IF($L$1=1,rawdata!H161,"")</f>
        <v>10592</v>
      </c>
      <c r="U16" s="13">
        <f>IF($L$1=1,rawdata!I161,"")</f>
        <v>11322</v>
      </c>
    </row>
    <row r="17" spans="2:21" ht="12.75" customHeight="1" x14ac:dyDescent="0.2">
      <c r="B17" s="113" t="s">
        <v>25</v>
      </c>
      <c r="C17" s="114"/>
      <c r="D17" s="39">
        <f t="shared" si="1"/>
        <v>3931</v>
      </c>
      <c r="E17" s="40">
        <f t="shared" si="0"/>
        <v>4298</v>
      </c>
      <c r="F17" s="39">
        <f t="shared" si="0"/>
        <v>4675</v>
      </c>
      <c r="G17" s="39">
        <f t="shared" si="0"/>
        <v>4377</v>
      </c>
      <c r="H17" s="40">
        <f t="shared" si="0"/>
        <v>4442</v>
      </c>
      <c r="I17" s="39">
        <f t="shared" si="0"/>
        <v>4675</v>
      </c>
      <c r="P17" s="13">
        <f>IF($L$1=1,rawdata!D162,"")</f>
        <v>3931</v>
      </c>
      <c r="Q17" s="13">
        <f>IF($L$1=1,rawdata!E162,"")</f>
        <v>4298</v>
      </c>
      <c r="R17" s="13">
        <f>IF($L$1=1,rawdata!F162,"")</f>
        <v>4675</v>
      </c>
      <c r="S17" s="13">
        <f>IF($L$1=1,rawdata!G162,"")</f>
        <v>4377</v>
      </c>
      <c r="T17" s="13">
        <f>IF($L$1=1,rawdata!H162,"")</f>
        <v>4442</v>
      </c>
      <c r="U17" s="13">
        <f>IF($L$1=1,rawdata!I162,"")</f>
        <v>4675</v>
      </c>
    </row>
    <row r="18" spans="2:21" ht="12.75" customHeight="1" x14ac:dyDescent="0.2">
      <c r="B18" s="113" t="s">
        <v>26</v>
      </c>
      <c r="C18" s="114"/>
      <c r="D18" s="39">
        <f t="shared" si="1"/>
        <v>7978</v>
      </c>
      <c r="E18" s="40">
        <f t="shared" si="0"/>
        <v>10960</v>
      </c>
      <c r="F18" s="39">
        <f t="shared" si="0"/>
        <v>9134</v>
      </c>
      <c r="G18" s="39">
        <f t="shared" si="0"/>
        <v>8884</v>
      </c>
      <c r="H18" s="40">
        <f t="shared" si="0"/>
        <v>11329</v>
      </c>
      <c r="I18" s="39">
        <f t="shared" si="0"/>
        <v>9134</v>
      </c>
      <c r="P18" s="13">
        <f>IF($L$1=1,rawdata!D163,"")</f>
        <v>7978</v>
      </c>
      <c r="Q18" s="13">
        <f>IF($L$1=1,rawdata!E163,"")</f>
        <v>10960</v>
      </c>
      <c r="R18" s="13">
        <f>IF($L$1=1,rawdata!F163,"")</f>
        <v>9134</v>
      </c>
      <c r="S18" s="13">
        <f>IF($L$1=1,rawdata!G163,"")</f>
        <v>8884</v>
      </c>
      <c r="T18" s="13">
        <f>IF($L$1=1,rawdata!H163,"")</f>
        <v>11329</v>
      </c>
      <c r="U18" s="13">
        <f>IF($L$1=1,rawdata!I163,"")</f>
        <v>9134</v>
      </c>
    </row>
    <row r="19" spans="2:21" ht="12.75" customHeight="1" x14ac:dyDescent="0.2">
      <c r="B19" s="113" t="s">
        <v>24</v>
      </c>
      <c r="C19" s="114"/>
      <c r="D19" s="39">
        <f t="shared" si="1"/>
        <v>6569</v>
      </c>
      <c r="E19" s="40">
        <f t="shared" si="0"/>
        <v>9502</v>
      </c>
      <c r="F19" s="39">
        <f t="shared" si="0"/>
        <v>7581</v>
      </c>
      <c r="G19" s="39">
        <f t="shared" si="0"/>
        <v>7315</v>
      </c>
      <c r="H19" s="40">
        <f t="shared" si="0"/>
        <v>9822</v>
      </c>
      <c r="I19" s="39">
        <f t="shared" si="0"/>
        <v>7581</v>
      </c>
      <c r="P19" s="13">
        <f>IF($L$1=1,rawdata!D164,"")</f>
        <v>6569</v>
      </c>
      <c r="Q19" s="13">
        <f>IF($L$1=1,rawdata!E164,"")</f>
        <v>9502</v>
      </c>
      <c r="R19" s="13">
        <f>IF($L$1=1,rawdata!F164,"")</f>
        <v>7581</v>
      </c>
      <c r="S19" s="13">
        <f>IF($L$1=1,rawdata!G164,"")</f>
        <v>7315</v>
      </c>
      <c r="T19" s="13">
        <f>IF($L$1=1,rawdata!H164,"")</f>
        <v>9822</v>
      </c>
      <c r="U19" s="13">
        <f>IF($L$1=1,rawdata!I164,"")</f>
        <v>7581</v>
      </c>
    </row>
    <row r="20" spans="2:21" ht="12.75" customHeight="1" x14ac:dyDescent="0.2">
      <c r="B20" s="113" t="s">
        <v>25</v>
      </c>
      <c r="C20" s="114"/>
      <c r="D20" s="39">
        <f t="shared" si="1"/>
        <v>1409</v>
      </c>
      <c r="E20" s="40">
        <f t="shared" si="0"/>
        <v>1458</v>
      </c>
      <c r="F20" s="39">
        <f t="shared" si="0"/>
        <v>1553</v>
      </c>
      <c r="G20" s="39">
        <f t="shared" si="0"/>
        <v>1568</v>
      </c>
      <c r="H20" s="40">
        <f t="shared" si="0"/>
        <v>1507</v>
      </c>
      <c r="I20" s="39">
        <f t="shared" si="0"/>
        <v>1553</v>
      </c>
      <c r="P20" s="13">
        <f>IF($L$1=1,rawdata!D165,"")</f>
        <v>1409</v>
      </c>
      <c r="Q20" s="13">
        <f>IF($L$1=1,rawdata!E165,"")</f>
        <v>1458</v>
      </c>
      <c r="R20" s="13">
        <f>IF($L$1=1,rawdata!F165,"")</f>
        <v>1553</v>
      </c>
      <c r="S20" s="13">
        <f>IF($L$1=1,rawdata!G165,"")</f>
        <v>1568</v>
      </c>
      <c r="T20" s="13">
        <f>IF($L$1=1,rawdata!H165,"")</f>
        <v>1507</v>
      </c>
      <c r="U20" s="13">
        <f>IF($L$1=1,rawdata!I165,"")</f>
        <v>1553</v>
      </c>
    </row>
    <row r="21" spans="2:21" ht="12.75" customHeight="1" x14ac:dyDescent="0.2">
      <c r="B21" s="115" t="s">
        <v>27</v>
      </c>
      <c r="C21" s="116"/>
      <c r="D21" s="78">
        <f t="shared" si="1"/>
        <v>91573</v>
      </c>
      <c r="E21" s="79">
        <f t="shared" si="0"/>
        <v>100079</v>
      </c>
      <c r="F21" s="78">
        <f t="shared" si="0"/>
        <v>105253</v>
      </c>
      <c r="G21" s="78">
        <f t="shared" si="0"/>
        <v>101969</v>
      </c>
      <c r="H21" s="79">
        <f t="shared" si="0"/>
        <v>103449</v>
      </c>
      <c r="I21" s="78">
        <f t="shared" si="0"/>
        <v>105253</v>
      </c>
      <c r="P21" s="13">
        <f>IF($L$1=1,rawdata!D166,"")</f>
        <v>91573</v>
      </c>
      <c r="Q21" s="13">
        <f>IF($L$1=1,rawdata!E166,"")</f>
        <v>100079</v>
      </c>
      <c r="R21" s="13">
        <f>IF($L$1=1,rawdata!F166,"")</f>
        <v>105253</v>
      </c>
      <c r="S21" s="13">
        <f>IF($L$1=1,rawdata!G166,"")</f>
        <v>101969</v>
      </c>
      <c r="T21" s="13">
        <f>IF($L$1=1,rawdata!H166,"")</f>
        <v>103449</v>
      </c>
      <c r="U21" s="13">
        <f>IF($L$1=1,rawdata!I166,"")</f>
        <v>105253</v>
      </c>
    </row>
    <row r="22" spans="2:21" ht="12.75" customHeight="1" x14ac:dyDescent="0.2">
      <c r="B22" s="54"/>
      <c r="C22" s="54"/>
      <c r="D22" s="48"/>
      <c r="E22" s="48"/>
      <c r="F22" s="48"/>
      <c r="G22" s="48"/>
      <c r="H22" s="55"/>
      <c r="I22" s="55"/>
    </row>
    <row r="23" spans="2:21" ht="71.25" customHeight="1" x14ac:dyDescent="0.2">
      <c r="B23" s="101" t="str">
        <f>"*Includes Practice Plan, Network Affiliation, and Other Medical Service Organization Funds. Practice Plan revenues from affiliated hospitals are reported with Hospital Purchased Services 
   &amp; Support: $"&amp;M7&amp;" million total revenue (FY "&amp;REPyear1&amp;"), $"&amp;M8&amp;" million total revenue (FY "&amp;REPFY1&amp;"), and $"&amp;M9&amp;" million total revenue (FY "&amp;REPFY2&amp;"). 
†Includes Sales and Services, Royalties, Consulting, Interest Income, Gains (Losses) on Investments, Leases/Rentals, and Other Miscellaneous "&amp;"
   Revenues.
Totals may not sum due to rounding."</f>
        <v>*Includes Practice Plan, Network Affiliation, and Other Medical Service Organization Funds. Practice Plan revenues from affiliated hospitals are reported with Hospital Purchased Services 
   &amp; Support: $6,962 million total revenue (FY 2023), $6,326 million total revenue (FY 2022), and $5,856 million total revenue (FY 2021). 
†Includes Sales and Services, Royalties, Consulting, Interest Income, Gains (Losses) on Investments, Leases/Rentals, and Other Miscellaneous 
   Revenues.
Totals may not sum due to rounding.</v>
      </c>
      <c r="C23" s="101"/>
      <c r="D23" s="101"/>
      <c r="E23" s="101"/>
      <c r="F23" s="101"/>
      <c r="G23" s="101"/>
      <c r="H23" s="101"/>
      <c r="I23" s="101"/>
    </row>
    <row r="24" spans="2:21" ht="56.25" customHeight="1" x14ac:dyDescent="0.2">
      <c r="B24" s="101" t="str">
        <f>"There were "&amp;M10&amp;", "&amp;M11&amp;", and "&amp;M12&amp;N10&amp;" in FY "&amp;REPyear1&amp;", FY "&amp;REPFY1&amp;", and FY "&amp;REPFY2&amp;", respectively. "&amp;N11&amp;" 
In order to maintain the confidentiality of medical schools in breakouts with fewer than five medical schools, summary tables including public medical school and private "&amp;"medical school
   details only show data from medical education programs with full LCME accreditation. "</f>
        <v xml:space="preserve">There were 59, 55, and 55 U.S. MD-granting private programs with full LCME accreditation in FY 2023, FY 2022, and FY 2021, respectively. This table includes historical data from U.S.
   MD-granting private medical education programs prior to their receiving full LCME accreditation in FY 2023. 
In order to maintain the confidentiality of medical schools in breakouts with fewer than five medical schools, summary tables including public medical school and private medical school
   details only show data from medical education programs with full LCME accreditation. </v>
      </c>
      <c r="C24" s="101"/>
      <c r="D24" s="101"/>
      <c r="E24" s="101"/>
      <c r="F24" s="101"/>
      <c r="G24" s="101"/>
      <c r="H24" s="101"/>
      <c r="I24" s="101"/>
    </row>
    <row r="25" spans="2:21" ht="12.75" customHeight="1" x14ac:dyDescent="0.2">
      <c r="B25" s="24"/>
      <c r="C25" s="24"/>
      <c r="D25" s="57"/>
      <c r="E25" s="58"/>
      <c r="F25" s="58"/>
      <c r="G25" s="59"/>
    </row>
    <row r="26" spans="2:21" s="14" customFormat="1" ht="12.75" customHeight="1" x14ac:dyDescent="0.2">
      <c r="B26" s="98" t="str">
        <f>"Source: "&amp;ReportSource&amp;" Prepared by the AAMC "&amp;ReportDate&amp;UpdatedDate</f>
        <v>Source: LCME Part I-A Annual Medical School Financial Questionnaire (AFQ), FY 2023. Prepared by the AAMC June 2024.</v>
      </c>
      <c r="C26" s="98"/>
      <c r="D26" s="98"/>
      <c r="E26" s="98"/>
      <c r="F26" s="98"/>
      <c r="G26" s="64"/>
      <c r="H26" s="64"/>
      <c r="I26" s="64"/>
    </row>
    <row r="27" spans="2:21" s="14" customFormat="1" ht="12.75" customHeight="1" x14ac:dyDescent="0.2">
      <c r="B27" s="98" t="s">
        <v>103</v>
      </c>
      <c r="C27" s="98"/>
      <c r="D27" s="64"/>
      <c r="E27" s="64"/>
      <c r="F27" s="64"/>
      <c r="G27" s="64"/>
      <c r="H27" s="64"/>
      <c r="I27" s="64"/>
    </row>
    <row r="28" spans="2:21" s="14" customFormat="1" ht="12.75" customHeight="1" x14ac:dyDescent="0.2">
      <c r="B28" s="98" t="str">
        <f>Copyright</f>
        <v>©2024 Association of American Medical Colleges. All rights reserved.</v>
      </c>
      <c r="C28" s="98"/>
      <c r="D28" s="98"/>
      <c r="E28" s="64"/>
      <c r="F28" s="64"/>
      <c r="G28" s="64"/>
      <c r="H28" s="64"/>
      <c r="I28" s="64"/>
    </row>
    <row r="29" spans="2:21" x14ac:dyDescent="0.2"/>
    <row r="30" spans="2:21" x14ac:dyDescent="0.2"/>
    <row r="31" spans="2:21" x14ac:dyDescent="0.2"/>
  </sheetData>
  <sheetProtection algorithmName="SHA-512" hashValue="qnXvvLKGkCniKGvHdnbo2mqH9P64BEGB73WfHOmUyQZkQLCKT4+Qc0dFlBpx6w1/48nxfH+OxxwQ+MYudmg/Uw==" saltValue="9M8BI6kGVrKmMXwJZpytuA==" spinCount="100000" sheet="1" objects="1" scenarios="1"/>
  <mergeCells count="25">
    <mergeCell ref="A1:B2"/>
    <mergeCell ref="B14:C14"/>
    <mergeCell ref="B15:C15"/>
    <mergeCell ref="B16:C16"/>
    <mergeCell ref="B9:C9"/>
    <mergeCell ref="B10:C10"/>
    <mergeCell ref="B11:C11"/>
    <mergeCell ref="B12:C12"/>
    <mergeCell ref="B13:C13"/>
    <mergeCell ref="B4:I4"/>
    <mergeCell ref="D5:F5"/>
    <mergeCell ref="G5:I5"/>
    <mergeCell ref="B5:C6"/>
    <mergeCell ref="B7:C7"/>
    <mergeCell ref="B28:D28"/>
    <mergeCell ref="B8:C8"/>
    <mergeCell ref="B24:I24"/>
    <mergeCell ref="B19:C19"/>
    <mergeCell ref="B20:C20"/>
    <mergeCell ref="B21:C21"/>
    <mergeCell ref="B17:C17"/>
    <mergeCell ref="B18:C18"/>
    <mergeCell ref="B26:F26"/>
    <mergeCell ref="B27:C27"/>
    <mergeCell ref="B23:I23"/>
  </mergeCells>
  <conditionalFormatting sqref="B7:I20">
    <cfRule type="expression" dxfId="1" priority="6">
      <formula>MOD(ROW(),2)=1</formula>
    </cfRule>
  </conditionalFormatting>
  <conditionalFormatting sqref="D6:I20">
    <cfRule type="expression" dxfId="0" priority="2">
      <formula>MOD(COLUMN(),2)=0</formula>
    </cfRule>
  </conditionalFormatting>
  <hyperlinks>
    <hyperlink ref="B27:C27" r:id="rId1" display="Contact: AFQ@aamc.org" xr:uid="{724831EA-163D-413B-99CF-5FE6EF15574C}"/>
  </hyperlinks>
  <printOptions horizontalCentered="1"/>
  <pageMargins left="0.75" right="0.75" top="1" bottom="1" header="0.5" footer="0.5"/>
  <pageSetup scale="86"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1D66D-8882-4509-850D-F0623EEC0314}">
  <sheetPr codeName="Sheet12">
    <tabColor theme="9"/>
  </sheetPr>
  <dimension ref="A1:O51"/>
  <sheetViews>
    <sheetView workbookViewId="0"/>
  </sheetViews>
  <sheetFormatPr defaultRowHeight="12.75" x14ac:dyDescent="0.2"/>
  <cols>
    <col min="1" max="1" width="14.7109375" bestFit="1" customWidth="1"/>
    <col min="2" max="2" width="13.85546875" customWidth="1"/>
    <col min="3" max="3" width="9.140625" customWidth="1"/>
    <col min="4" max="5" width="18.5703125" customWidth="1"/>
    <col min="6" max="6" width="5" customWidth="1"/>
    <col min="7" max="7" width="10.140625" customWidth="1"/>
    <col min="8" max="12" width="9" customWidth="1"/>
    <col min="15" max="15" width="10.140625" customWidth="1"/>
  </cols>
  <sheetData>
    <row r="1" spans="1:13" x14ac:dyDescent="0.2">
      <c r="A1" s="1" t="s">
        <v>34</v>
      </c>
      <c r="B1" s="2">
        <f>REPyear</f>
        <v>2023</v>
      </c>
      <c r="C1" s="1"/>
      <c r="D1" s="1"/>
      <c r="E1" s="1"/>
      <c r="F1" s="3" t="s">
        <v>102</v>
      </c>
      <c r="G1" s="3"/>
      <c r="H1" s="3" t="s">
        <v>151</v>
      </c>
      <c r="I1" s="3" t="s">
        <v>152</v>
      </c>
      <c r="J1" s="1"/>
      <c r="M1" s="1"/>
    </row>
    <row r="2" spans="1:13" x14ac:dyDescent="0.2">
      <c r="A2" s="1" t="s">
        <v>35</v>
      </c>
      <c r="B2" s="2">
        <f>REPyear1-1</f>
        <v>2022</v>
      </c>
      <c r="C2" s="1"/>
      <c r="D2" s="1"/>
      <c r="E2" s="1"/>
      <c r="F2" s="1">
        <v>0</v>
      </c>
      <c r="G2" s="1" t="s">
        <v>149</v>
      </c>
      <c r="H2" s="1" t="s">
        <v>153</v>
      </c>
      <c r="I2" s="1" t="s">
        <v>156</v>
      </c>
      <c r="J2" s="1"/>
      <c r="M2" s="1"/>
    </row>
    <row r="3" spans="1:13" x14ac:dyDescent="0.2">
      <c r="A3" s="1" t="s">
        <v>36</v>
      </c>
      <c r="B3" s="2">
        <f>REPyear1-2</f>
        <v>2021</v>
      </c>
      <c r="C3" s="1"/>
      <c r="D3" s="1"/>
      <c r="E3" s="1"/>
      <c r="F3" s="1">
        <v>1</v>
      </c>
      <c r="G3" s="1" t="s">
        <v>150</v>
      </c>
      <c r="H3" s="1" t="s">
        <v>154</v>
      </c>
      <c r="I3" s="1" t="s">
        <v>155</v>
      </c>
      <c r="J3" s="1"/>
      <c r="M3" s="1"/>
    </row>
    <row r="4" spans="1:13" x14ac:dyDescent="0.2">
      <c r="A4" s="1" t="s">
        <v>1</v>
      </c>
      <c r="B4" s="4" t="str">
        <f>MainDIR</f>
        <v>H:\MSDSS\Research and Reporting\Annual Reports\Finance Tables and Graphs</v>
      </c>
      <c r="C4" s="1"/>
      <c r="D4" s="1"/>
      <c r="E4" s="1"/>
      <c r="F4" s="1"/>
      <c r="G4" s="1"/>
      <c r="H4" s="1"/>
      <c r="I4" s="1"/>
      <c r="J4" s="1"/>
      <c r="M4" s="1"/>
    </row>
    <row r="5" spans="1:13" x14ac:dyDescent="0.2">
      <c r="A5" s="1" t="s">
        <v>3</v>
      </c>
      <c r="B5" s="4" t="str">
        <f>OutputFolder</f>
        <v>_report output</v>
      </c>
      <c r="C5" s="1"/>
      <c r="D5" s="1"/>
      <c r="E5" s="1"/>
      <c r="F5" s="1"/>
      <c r="G5" s="1"/>
      <c r="H5" s="1"/>
      <c r="I5" s="1"/>
      <c r="J5" s="1"/>
      <c r="M5" s="1"/>
    </row>
    <row r="6" spans="1:13" x14ac:dyDescent="0.2">
      <c r="A6" s="1" t="s">
        <v>5</v>
      </c>
      <c r="B6" s="4" t="str">
        <f>"June "&amp;REPyear1+1&amp;"."</f>
        <v>June 2024.</v>
      </c>
      <c r="C6" s="1"/>
      <c r="D6" s="1"/>
      <c r="E6" s="1"/>
      <c r="F6" s="1"/>
      <c r="G6" s="1"/>
      <c r="H6" s="1"/>
      <c r="I6" s="1"/>
      <c r="J6" s="1"/>
      <c r="M6" s="1"/>
    </row>
    <row r="7" spans="1:13" x14ac:dyDescent="0.2">
      <c r="A7" s="1" t="s">
        <v>40</v>
      </c>
      <c r="B7" s="4" t="str">
        <f>"©"&amp;REPyear1 +1&amp;" Association of American Medical Colleges. All rights reserved."</f>
        <v>©2024 Association of American Medical Colleges. All rights reserved.</v>
      </c>
      <c r="C7" s="1"/>
      <c r="D7" s="1"/>
      <c r="E7" s="1"/>
      <c r="F7" s="1"/>
      <c r="G7" s="1"/>
      <c r="H7" s="1"/>
      <c r="I7" s="1"/>
      <c r="J7" s="1"/>
      <c r="M7" s="1"/>
    </row>
    <row r="8" spans="1:13" x14ac:dyDescent="0.2">
      <c r="A8" s="1" t="s">
        <v>32</v>
      </c>
      <c r="B8" s="10" t="str">
        <f>"LCME Part I-A Annual Medical School Financial Questionnaire (AFQ), FY "&amp;REPyear1&amp;"."</f>
        <v>LCME Part I-A Annual Medical School Financial Questionnaire (AFQ), FY 2023.</v>
      </c>
      <c r="D8" s="1"/>
      <c r="E8" s="1"/>
      <c r="F8" s="1"/>
      <c r="G8" s="1"/>
      <c r="H8" s="1"/>
      <c r="I8" s="1"/>
      <c r="J8" s="1"/>
      <c r="M8" s="1"/>
    </row>
    <row r="9" spans="1:13" x14ac:dyDescent="0.2">
      <c r="A9" s="1" t="s">
        <v>38</v>
      </c>
      <c r="B9" s="10" t="s">
        <v>184</v>
      </c>
      <c r="C9" s="1"/>
      <c r="D9" s="1"/>
      <c r="E9" s="1"/>
      <c r="F9" s="1"/>
      <c r="G9" s="1"/>
      <c r="H9" s="1"/>
      <c r="I9" s="1"/>
      <c r="J9" s="1"/>
      <c r="M9" s="3"/>
    </row>
    <row r="10" spans="1:13" x14ac:dyDescent="0.2">
      <c r="A10" s="1" t="s">
        <v>39</v>
      </c>
      <c r="B10" s="10" t="s">
        <v>185</v>
      </c>
      <c r="C10" s="1"/>
      <c r="D10" s="1"/>
      <c r="E10" s="1"/>
      <c r="F10" s="1"/>
      <c r="G10" s="1"/>
      <c r="H10" s="1"/>
      <c r="I10" s="1"/>
      <c r="J10" s="1"/>
      <c r="M10" s="3"/>
    </row>
    <row r="11" spans="1:13" x14ac:dyDescent="0.2">
      <c r="A11" s="1" t="s">
        <v>37</v>
      </c>
      <c r="B11" s="11" t="s">
        <v>46</v>
      </c>
      <c r="C11" s="1"/>
      <c r="D11" s="1"/>
      <c r="E11" s="1"/>
      <c r="F11" s="1"/>
      <c r="G11" s="1"/>
      <c r="H11" s="1"/>
      <c r="I11" s="1"/>
      <c r="J11" s="1"/>
      <c r="K11" s="1"/>
    </row>
    <row r="12" spans="1:13" x14ac:dyDescent="0.2">
      <c r="A12" s="1" t="s">
        <v>93</v>
      </c>
      <c r="B12" s="4"/>
      <c r="C12" s="1"/>
      <c r="D12" s="1"/>
      <c r="E12" s="1"/>
      <c r="F12" s="1"/>
      <c r="G12" s="1"/>
      <c r="H12" s="1"/>
      <c r="I12" s="1"/>
      <c r="J12" s="1"/>
      <c r="K12" s="1"/>
      <c r="L12" s="1"/>
      <c r="M12" s="1"/>
    </row>
    <row r="13" spans="1:13" x14ac:dyDescent="0.2">
      <c r="C13" s="1"/>
      <c r="E13" s="1"/>
      <c r="F13" s="1"/>
      <c r="G13" s="1"/>
      <c r="H13" s="1"/>
      <c r="I13" s="1"/>
      <c r="J13" s="1"/>
      <c r="K13" s="1"/>
      <c r="L13" s="1"/>
      <c r="M13" s="1"/>
    </row>
    <row r="14" spans="1:13" x14ac:dyDescent="0.2">
      <c r="A14" s="1"/>
      <c r="B14" s="1"/>
      <c r="C14" s="1"/>
      <c r="D14" s="1"/>
      <c r="E14" s="1"/>
      <c r="F14" s="1"/>
      <c r="G14" s="1"/>
      <c r="H14" s="1"/>
      <c r="I14" s="1"/>
      <c r="J14" s="1"/>
      <c r="K14" s="1"/>
      <c r="L14" s="1"/>
      <c r="M14" s="1"/>
    </row>
    <row r="15" spans="1:13" x14ac:dyDescent="0.2">
      <c r="A15" s="1"/>
      <c r="C15" s="1"/>
      <c r="D15" s="1"/>
      <c r="E15" s="1"/>
      <c r="F15" s="1"/>
      <c r="G15" s="1"/>
      <c r="H15" s="1"/>
      <c r="I15" s="1"/>
      <c r="J15" s="1"/>
      <c r="K15" s="1"/>
      <c r="L15" s="1"/>
      <c r="M15" s="1"/>
    </row>
    <row r="16" spans="1:13" x14ac:dyDescent="0.2">
      <c r="A16" s="1"/>
      <c r="B16" s="1"/>
      <c r="C16" s="1"/>
      <c r="D16" s="1"/>
      <c r="E16" s="1"/>
      <c r="F16" s="1"/>
      <c r="G16" s="1"/>
      <c r="H16" s="1"/>
      <c r="I16" s="1"/>
      <c r="J16" s="1"/>
      <c r="K16" s="1"/>
      <c r="L16" s="1"/>
      <c r="M16" s="1"/>
    </row>
    <row r="17" spans="1:15" x14ac:dyDescent="0.2">
      <c r="A17" s="1"/>
      <c r="B17" s="1"/>
      <c r="C17" s="1"/>
      <c r="D17" s="1"/>
      <c r="E17" s="1"/>
      <c r="F17" s="1"/>
      <c r="G17" s="1"/>
      <c r="H17" s="1"/>
      <c r="I17" s="1"/>
      <c r="J17" s="1"/>
      <c r="K17" s="1"/>
      <c r="L17" s="1"/>
      <c r="M17" s="1"/>
    </row>
    <row r="18" spans="1:15" x14ac:dyDescent="0.2">
      <c r="A18" s="1"/>
      <c r="B18" s="1"/>
      <c r="C18" s="1"/>
      <c r="D18" s="1"/>
      <c r="E18" s="1"/>
      <c r="F18" s="1"/>
      <c r="G18" s="1"/>
      <c r="H18" s="1"/>
      <c r="I18" s="1"/>
      <c r="J18" s="1"/>
      <c r="K18" s="1"/>
      <c r="L18" s="1"/>
      <c r="M18" s="1"/>
    </row>
    <row r="19" spans="1:15" x14ac:dyDescent="0.2">
      <c r="A19" s="1"/>
      <c r="B19" s="1"/>
      <c r="C19" s="1"/>
      <c r="D19" s="1"/>
      <c r="E19" s="1"/>
      <c r="F19" s="1"/>
      <c r="G19" s="1"/>
      <c r="H19" s="1"/>
      <c r="I19" s="1"/>
      <c r="J19" s="1"/>
      <c r="K19" s="1"/>
      <c r="L19" s="1"/>
      <c r="M19" s="1"/>
    </row>
    <row r="20" spans="1:15" x14ac:dyDescent="0.2">
      <c r="A20" s="1"/>
      <c r="B20" s="1"/>
      <c r="C20" s="1"/>
      <c r="D20" s="1"/>
      <c r="E20" s="1"/>
      <c r="F20" s="1"/>
      <c r="G20" s="1"/>
      <c r="H20" s="1"/>
      <c r="I20" s="1"/>
      <c r="J20" s="1"/>
      <c r="K20" s="1"/>
      <c r="L20" s="1"/>
      <c r="M20" s="1"/>
      <c r="O20" s="1"/>
    </row>
    <row r="21" spans="1:15" x14ac:dyDescent="0.2">
      <c r="A21" s="3" t="s">
        <v>8</v>
      </c>
      <c r="B21" s="3" t="s">
        <v>9</v>
      </c>
      <c r="C21" s="3" t="s">
        <v>10</v>
      </c>
      <c r="D21" s="3"/>
      <c r="E21" s="3"/>
      <c r="F21" s="3"/>
      <c r="G21" s="3"/>
      <c r="H21" s="3"/>
      <c r="I21" s="3"/>
      <c r="J21" s="3"/>
      <c r="K21" s="3"/>
      <c r="L21" s="3"/>
      <c r="M21" s="3"/>
      <c r="O21" s="1"/>
    </row>
    <row r="22" spans="1:15" x14ac:dyDescent="0.2">
      <c r="A22" s="1">
        <v>1</v>
      </c>
      <c r="B22" s="4" t="str">
        <f ca="1">MID(CELL("filename",'1'!C1),FIND("]",CELL("filename",'1'!C1))+1,255)</f>
        <v>1</v>
      </c>
      <c r="C22" s="8" t="str">
        <f>"Revenues Supporting Programs and Activities, FY "&amp;REPyear1&amp;" ($ in Millions)"</f>
        <v>Revenues Supporting Programs and Activities, FY 2023 ($ in Millions)</v>
      </c>
      <c r="D22" s="8"/>
      <c r="E22" s="9"/>
      <c r="F22" s="9"/>
      <c r="G22" s="9"/>
      <c r="H22" s="9"/>
      <c r="I22" s="9"/>
      <c r="J22" s="9"/>
      <c r="K22" s="9"/>
      <c r="L22" s="9"/>
      <c r="M22" s="1"/>
      <c r="O22" s="1"/>
    </row>
    <row r="23" spans="1:15" x14ac:dyDescent="0.2">
      <c r="A23" s="1">
        <v>2</v>
      </c>
      <c r="B23" s="4" t="str">
        <f ca="1">MID(CELL("filename",'2'!B2),FIND("]",CELL("filename",'2'!B2))+1,255)</f>
        <v>2</v>
      </c>
      <c r="C23" s="8" t="str">
        <f>"Revenue Supporting Programs and Activities Public vs. Private, FY "&amp;REPyear1&amp;" ($ in Millions)"</f>
        <v>Revenue Supporting Programs and Activities Public vs. Private, FY 2023 ($ in Millions)</v>
      </c>
      <c r="D23" s="8"/>
      <c r="E23" s="9"/>
      <c r="F23" s="9"/>
      <c r="G23" s="9"/>
      <c r="H23" s="9"/>
      <c r="I23" s="9"/>
      <c r="J23" s="9"/>
      <c r="K23" s="9"/>
      <c r="L23" s="9"/>
      <c r="M23" s="1"/>
    </row>
    <row r="24" spans="1:15" x14ac:dyDescent="0.2">
      <c r="A24" s="1">
        <v>3</v>
      </c>
      <c r="B24" s="4" t="str">
        <f ca="1">MID(CELL("filename",'3'!B5),FIND("]",CELL("filename",'3'!B5))+1,255)</f>
        <v>3</v>
      </c>
      <c r="C24" s="8" t="str">
        <f>"Percent Change in All Revenue, FY "&amp;REPFY1&amp;" vs. FY "&amp;REPyear1&amp;" ($ in Millions)"</f>
        <v>Percent Change in All Revenue, FY 2022 vs. FY 2023 ($ in Millions)</v>
      </c>
      <c r="D24" s="8"/>
      <c r="E24" s="9"/>
      <c r="F24" s="9"/>
      <c r="G24" s="9"/>
      <c r="H24" s="9"/>
      <c r="I24" s="9"/>
      <c r="J24" s="9"/>
      <c r="K24" s="9"/>
      <c r="L24" s="9"/>
      <c r="M24" s="1"/>
    </row>
    <row r="25" spans="1:15" x14ac:dyDescent="0.2">
      <c r="A25" s="1">
        <v>4</v>
      </c>
      <c r="B25" s="4" t="str">
        <f ca="1">MID(CELL("filename",'4'!B4),FIND("]",CELL("filename",'4'!B4))+1,255)</f>
        <v>4</v>
      </c>
      <c r="C25" s="8" t="str">
        <f>"Percent Change in All Revenue at Public U.S. Medical Schools, FY "&amp;REPFY1&amp;" vs. FY "&amp;REPyear1&amp;" ($ in Millions)"</f>
        <v>Percent Change in All Revenue at Public U.S. Medical Schools, FY 2022 vs. FY 2023 ($ in Millions)</v>
      </c>
      <c r="D25" s="8"/>
      <c r="E25" s="9"/>
      <c r="F25" s="9"/>
      <c r="G25" s="9"/>
      <c r="H25" s="9"/>
      <c r="I25" s="9"/>
      <c r="J25" s="9"/>
      <c r="K25" s="9"/>
      <c r="L25" s="9"/>
      <c r="M25" s="1"/>
    </row>
    <row r="26" spans="1:15" x14ac:dyDescent="0.2">
      <c r="A26" s="1">
        <v>5</v>
      </c>
      <c r="B26" s="4" t="str">
        <f ca="1">MID(CELL("filename",'5'!B4),FIND("]",CELL("filename",'5'!B4))+1,255)</f>
        <v>5</v>
      </c>
      <c r="C26" s="8" t="str">
        <f>"Percent Change in All Revenue at Private U.S. Medical Schools, FY "&amp;REPFY1&amp;" vs. FY "&amp;REPyear1&amp;" ($ in Millions)"</f>
        <v>Percent Change in All Revenue at Private U.S. Medical Schools, FY 2022 vs. FY 2023 ($ in Millions)</v>
      </c>
      <c r="D26" s="8"/>
      <c r="E26" s="9"/>
      <c r="F26" s="9"/>
      <c r="G26" s="9"/>
      <c r="H26" s="9"/>
      <c r="I26" s="9"/>
      <c r="J26" s="9"/>
      <c r="K26" s="9"/>
      <c r="L26" s="9"/>
      <c r="M26" s="1"/>
    </row>
    <row r="27" spans="1:15" x14ac:dyDescent="0.2">
      <c r="A27" s="1">
        <v>6</v>
      </c>
      <c r="B27" s="4" t="str">
        <f ca="1">MID(CELL("filename",'6'!B8),FIND("]",CELL("filename",'6'!B8))+1,255)</f>
        <v>6</v>
      </c>
      <c r="C27" s="8" t="str">
        <f>"Revenues Supporting Programs and Activities, FY "&amp;REPFY2&amp;" through FY "&amp;REPyear1&amp;" ($ in Millions)"</f>
        <v>Revenues Supporting Programs and Activities, FY 2021 through FY 2023 ($ in Millions)</v>
      </c>
      <c r="D27" s="8"/>
      <c r="E27" s="9"/>
      <c r="F27" s="9"/>
      <c r="G27" s="9"/>
      <c r="H27" s="9"/>
      <c r="I27" s="9"/>
      <c r="J27" s="9"/>
      <c r="K27" s="9"/>
      <c r="L27" s="9"/>
      <c r="M27" s="1"/>
    </row>
    <row r="28" spans="1:15" x14ac:dyDescent="0.2">
      <c r="A28" s="1">
        <v>7</v>
      </c>
      <c r="B28" s="4" t="str">
        <f ca="1">MID(CELL("filename",'7'!B6),FIND("]",CELL("filename",'7'!B6))+1,255)</f>
        <v>7</v>
      </c>
      <c r="C28" s="8" t="str">
        <f>"Revenues Supporting Programs and Activities at Public U.S. Medical Schools, FY "&amp;REPFY2&amp;" through FY "&amp;REPyear1&amp;" ($ in Millions)"</f>
        <v>Revenues Supporting Programs and Activities at Public U.S. Medical Schools, FY 2021 through FY 2023 ($ in Millions)</v>
      </c>
      <c r="D28" s="8"/>
      <c r="E28" s="9"/>
      <c r="F28" s="9"/>
      <c r="G28" s="9"/>
      <c r="H28" s="9"/>
      <c r="I28" s="9"/>
      <c r="J28" s="9"/>
      <c r="K28" s="9"/>
      <c r="L28" s="9"/>
      <c r="M28" s="1"/>
    </row>
    <row r="29" spans="1:15" x14ac:dyDescent="0.2">
      <c r="A29" s="1">
        <v>8</v>
      </c>
      <c r="B29" s="4" t="str">
        <f ca="1">MID(CELL("filename",'8'!B6),FIND("]",CELL("filename",'8'!B6))+1,255)</f>
        <v>8</v>
      </c>
      <c r="C29" s="8" t="str">
        <f>"Revenues Supporting Programs and Activities at Private U.S. Medical Schools, FY "&amp;REPFY2&amp;" through FY "&amp;REPyear1&amp;" ($ in Millions)"</f>
        <v>Revenues Supporting Programs and Activities at Private U.S. Medical Schools, FY 2021 through FY 2023 ($ in Millions)</v>
      </c>
      <c r="D29" s="8"/>
      <c r="E29" s="9"/>
      <c r="F29" s="9"/>
      <c r="G29" s="9"/>
      <c r="H29" s="9"/>
      <c r="I29" s="9"/>
      <c r="J29" s="9"/>
      <c r="K29" s="9"/>
      <c r="L29" s="9"/>
      <c r="M29" s="1"/>
    </row>
    <row r="30" spans="1:15" x14ac:dyDescent="0.2">
      <c r="A30" s="1"/>
      <c r="B30" s="1"/>
      <c r="C30" s="1"/>
      <c r="D30" s="1"/>
      <c r="E30" s="1"/>
      <c r="F30" s="1"/>
      <c r="G30" s="1"/>
      <c r="H30" s="1"/>
      <c r="I30" s="1"/>
      <c r="J30" s="1"/>
      <c r="K30" s="1"/>
      <c r="L30" s="1"/>
      <c r="M30" s="1"/>
    </row>
    <row r="31" spans="1:15" x14ac:dyDescent="0.2">
      <c r="K31" s="1"/>
      <c r="L31" s="1"/>
      <c r="M31" s="1"/>
    </row>
    <row r="33" spans="1:6" x14ac:dyDescent="0.2">
      <c r="A33" s="1"/>
      <c r="B33" s="1"/>
    </row>
    <row r="34" spans="1:6" x14ac:dyDescent="0.2">
      <c r="A34" s="1"/>
      <c r="B34" s="1"/>
    </row>
    <row r="35" spans="1:6" x14ac:dyDescent="0.2">
      <c r="A35" s="1"/>
      <c r="B35" s="1"/>
    </row>
    <row r="36" spans="1:6" x14ac:dyDescent="0.2">
      <c r="A36" s="1"/>
      <c r="B36" s="1"/>
    </row>
    <row r="37" spans="1:6" x14ac:dyDescent="0.2">
      <c r="A37" s="1"/>
      <c r="B37" s="1"/>
    </row>
    <row r="38" spans="1:6" x14ac:dyDescent="0.2">
      <c r="A38" s="1"/>
      <c r="B38" s="1"/>
    </row>
    <row r="39" spans="1:6" x14ac:dyDescent="0.2">
      <c r="A39" s="1"/>
      <c r="B39" s="1"/>
    </row>
    <row r="40" spans="1:6" x14ac:dyDescent="0.2">
      <c r="A40" s="1"/>
      <c r="B40" s="1"/>
    </row>
    <row r="44" spans="1:6" x14ac:dyDescent="0.2">
      <c r="A44" s="1"/>
      <c r="B44" s="1"/>
      <c r="E44" s="1"/>
      <c r="F44" s="1"/>
    </row>
    <row r="45" spans="1:6" x14ac:dyDescent="0.2">
      <c r="A45" s="1"/>
      <c r="B45" s="1"/>
      <c r="E45" s="1"/>
      <c r="F45" s="1"/>
    </row>
    <row r="46" spans="1:6" x14ac:dyDescent="0.2">
      <c r="A46" s="1"/>
      <c r="B46" s="1"/>
      <c r="E46" s="1"/>
      <c r="F46" s="1"/>
    </row>
    <row r="47" spans="1:6" x14ac:dyDescent="0.2">
      <c r="A47" s="1"/>
      <c r="B47" s="1"/>
      <c r="E47" s="1"/>
      <c r="F47" s="1"/>
    </row>
    <row r="48" spans="1:6" x14ac:dyDescent="0.2">
      <c r="A48" s="1"/>
      <c r="B48" s="1"/>
      <c r="E48" s="1"/>
      <c r="F48" s="1"/>
    </row>
    <row r="49" spans="1:6" x14ac:dyDescent="0.2">
      <c r="A49" s="1"/>
      <c r="B49" s="1"/>
      <c r="E49" s="1"/>
      <c r="F49" s="1"/>
    </row>
    <row r="50" spans="1:6" x14ac:dyDescent="0.2">
      <c r="A50" s="1"/>
      <c r="B50" s="1"/>
      <c r="E50" s="1"/>
      <c r="F50" s="1"/>
    </row>
    <row r="51" spans="1:6" x14ac:dyDescent="0.2">
      <c r="A51" s="1"/>
      <c r="B51" s="1"/>
      <c r="E51" s="1"/>
      <c r="F51" s="1"/>
    </row>
  </sheetData>
  <dataValidations count="2">
    <dataValidation allowBlank="1" showInputMessage="1" showErrorMessage="1" prompt="Enter &quot;Y&quot; or &quot;y&quot; to trigger function" sqref="L7" xr:uid="{4F7ECFF3-ADCB-488C-9880-1A4CC388FCE7}"/>
    <dataValidation type="custom" allowBlank="1" showInputMessage="1" showErrorMessage="1" errorTitle="!!!ERROR!!!" error="Enter &quot;Y&quot; or &quot;y&quot; to trigger the corresponding function!" prompt="Enter &quot;Y&quot; or &quot;y&quot; to trigger function." sqref="L4:L6 L8:L9" xr:uid="{09BE568F-55DD-4275-902B-68208C81A090}">
      <formula1>OR(L4="y",L4="-")</formula1>
    </dataValidation>
  </dataValidations>
  <hyperlinks>
    <hyperlink ref="B11" r:id="rId1" xr:uid="{9DEFEECE-EA35-43B2-9EE9-82DE1EE08CE3}"/>
  </hyperlinks>
  <pageMargins left="0.7" right="0.7" top="0.75" bottom="0.75" header="0.3" footer="0.3"/>
  <pageSetup orientation="portrait" horizontalDpi="1200" verticalDpi="1200"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F5E80-92C9-4E08-9737-596358B015E4}">
  <sheetPr codeName="Sheet10">
    <tabColor rgb="FF7030A0"/>
  </sheetPr>
  <dimension ref="A1:I166"/>
  <sheetViews>
    <sheetView workbookViewId="0">
      <pane ySplit="1" topLeftCell="A2" activePane="bottomLeft" state="frozen"/>
      <selection activeCell="B24" sqref="B24:I24"/>
      <selection pane="bottomLeft" activeCell="C176" sqref="C176"/>
    </sheetView>
  </sheetViews>
  <sheetFormatPr defaultRowHeight="12.75" x14ac:dyDescent="0.2"/>
  <cols>
    <col min="2" max="2" width="16.28515625" customWidth="1"/>
    <col min="3" max="3" width="48.7109375" customWidth="1"/>
  </cols>
  <sheetData>
    <row r="1" spans="1:9" x14ac:dyDescent="0.2">
      <c r="A1" s="84" t="s">
        <v>117</v>
      </c>
      <c r="B1" s="84" t="s">
        <v>118</v>
      </c>
      <c r="C1" s="84" t="s">
        <v>119</v>
      </c>
      <c r="D1" s="84" t="s">
        <v>120</v>
      </c>
      <c r="E1" s="84" t="s">
        <v>121</v>
      </c>
      <c r="F1" s="84" t="s">
        <v>122</v>
      </c>
      <c r="G1" s="84" t="s">
        <v>123</v>
      </c>
      <c r="H1" s="84" t="s">
        <v>124</v>
      </c>
      <c r="I1" s="84" t="s">
        <v>125</v>
      </c>
    </row>
    <row r="2" spans="1:9" x14ac:dyDescent="0.2">
      <c r="A2">
        <v>1</v>
      </c>
      <c r="B2">
        <v>1</v>
      </c>
      <c r="C2" s="85" t="s">
        <v>17</v>
      </c>
      <c r="D2">
        <v>81256</v>
      </c>
      <c r="E2">
        <v>42.3</v>
      </c>
      <c r="F2">
        <v>33454</v>
      </c>
      <c r="G2">
        <v>17.399999999999999</v>
      </c>
      <c r="H2">
        <v>47802</v>
      </c>
      <c r="I2">
        <v>24.9</v>
      </c>
    </row>
    <row r="3" spans="1:9" x14ac:dyDescent="0.2">
      <c r="A3">
        <v>1</v>
      </c>
      <c r="B3">
        <v>2</v>
      </c>
      <c r="C3" s="85" t="s">
        <v>18</v>
      </c>
      <c r="D3">
        <v>39506</v>
      </c>
      <c r="E3">
        <v>20.6</v>
      </c>
      <c r="F3">
        <v>20785</v>
      </c>
      <c r="G3">
        <v>10.8</v>
      </c>
      <c r="H3">
        <v>18721</v>
      </c>
      <c r="I3">
        <v>9.6999999999999993</v>
      </c>
    </row>
    <row r="4" spans="1:9" x14ac:dyDescent="0.2">
      <c r="A4">
        <v>1</v>
      </c>
      <c r="B4">
        <v>3</v>
      </c>
      <c r="C4" s="85" t="s">
        <v>19</v>
      </c>
      <c r="D4">
        <v>7495</v>
      </c>
      <c r="E4">
        <v>3.9</v>
      </c>
      <c r="F4">
        <v>4218</v>
      </c>
      <c r="G4">
        <v>2.2000000000000002</v>
      </c>
      <c r="H4">
        <v>3277</v>
      </c>
      <c r="I4">
        <v>1.7</v>
      </c>
    </row>
    <row r="5" spans="1:9" x14ac:dyDescent="0.2">
      <c r="A5">
        <v>1</v>
      </c>
      <c r="B5">
        <v>4</v>
      </c>
      <c r="C5" t="s">
        <v>20</v>
      </c>
      <c r="D5">
        <v>6098</v>
      </c>
      <c r="E5">
        <v>3.2</v>
      </c>
      <c r="F5">
        <v>5044</v>
      </c>
      <c r="G5">
        <v>2.6</v>
      </c>
      <c r="H5">
        <v>1087</v>
      </c>
      <c r="I5">
        <v>0.6</v>
      </c>
    </row>
    <row r="6" spans="1:9" x14ac:dyDescent="0.2">
      <c r="A6">
        <v>1</v>
      </c>
      <c r="B6">
        <v>5</v>
      </c>
      <c r="C6" s="85" t="s">
        <v>21</v>
      </c>
      <c r="D6">
        <v>3127</v>
      </c>
      <c r="E6">
        <v>1.6</v>
      </c>
      <c r="F6">
        <v>2982</v>
      </c>
      <c r="G6">
        <v>1.6</v>
      </c>
      <c r="H6">
        <v>146</v>
      </c>
      <c r="I6">
        <v>0.1</v>
      </c>
    </row>
    <row r="7" spans="1:9" x14ac:dyDescent="0.2">
      <c r="A7">
        <v>1</v>
      </c>
      <c r="B7">
        <v>6</v>
      </c>
      <c r="C7" s="85" t="s">
        <v>22</v>
      </c>
      <c r="D7">
        <v>3295</v>
      </c>
      <c r="E7">
        <v>1.7</v>
      </c>
      <c r="F7">
        <v>2899</v>
      </c>
      <c r="G7">
        <v>1.5</v>
      </c>
      <c r="H7">
        <v>396</v>
      </c>
      <c r="I7">
        <v>0.2</v>
      </c>
    </row>
    <row r="8" spans="1:9" x14ac:dyDescent="0.2">
      <c r="A8">
        <v>1</v>
      </c>
      <c r="B8">
        <v>7</v>
      </c>
      <c r="C8" s="85" t="s">
        <v>33</v>
      </c>
      <c r="D8">
        <v>6951</v>
      </c>
      <c r="E8">
        <v>3.6</v>
      </c>
      <c r="F8">
        <v>6133</v>
      </c>
      <c r="G8">
        <v>3.2</v>
      </c>
      <c r="H8">
        <v>817</v>
      </c>
      <c r="I8">
        <v>0.4</v>
      </c>
    </row>
    <row r="9" spans="1:9" x14ac:dyDescent="0.2">
      <c r="A9">
        <v>1</v>
      </c>
      <c r="B9">
        <v>8</v>
      </c>
      <c r="C9" t="s">
        <v>23</v>
      </c>
      <c r="D9">
        <v>44320</v>
      </c>
      <c r="E9">
        <v>23.1</v>
      </c>
      <c r="F9">
        <v>29995</v>
      </c>
      <c r="G9">
        <v>15.6</v>
      </c>
      <c r="H9">
        <v>14324</v>
      </c>
      <c r="I9">
        <v>7.5</v>
      </c>
    </row>
    <row r="10" spans="1:9" x14ac:dyDescent="0.2">
      <c r="A10">
        <v>1</v>
      </c>
      <c r="B10">
        <v>9</v>
      </c>
      <c r="C10" s="85" t="s">
        <v>42</v>
      </c>
      <c r="D10">
        <v>28271</v>
      </c>
      <c r="E10">
        <v>14.7</v>
      </c>
      <c r="F10">
        <v>17638</v>
      </c>
      <c r="G10">
        <v>9.1999999999999993</v>
      </c>
      <c r="H10">
        <v>8453</v>
      </c>
      <c r="I10">
        <v>4.4000000000000004</v>
      </c>
    </row>
    <row r="11" spans="1:9" x14ac:dyDescent="0.2">
      <c r="A11">
        <v>1</v>
      </c>
      <c r="B11">
        <v>10</v>
      </c>
      <c r="C11" s="85" t="s">
        <v>24</v>
      </c>
      <c r="D11">
        <v>20091</v>
      </c>
      <c r="E11">
        <v>10.5</v>
      </c>
      <c r="F11">
        <v>12778</v>
      </c>
      <c r="G11">
        <v>6.7</v>
      </c>
      <c r="H11">
        <v>5133</v>
      </c>
      <c r="I11">
        <v>2.7</v>
      </c>
    </row>
    <row r="12" spans="1:9" x14ac:dyDescent="0.2">
      <c r="A12">
        <v>1</v>
      </c>
      <c r="B12">
        <v>11</v>
      </c>
      <c r="C12" t="s">
        <v>25</v>
      </c>
      <c r="D12">
        <v>8180</v>
      </c>
      <c r="E12">
        <v>4.3</v>
      </c>
      <c r="F12">
        <v>4860</v>
      </c>
      <c r="G12">
        <v>2.5</v>
      </c>
      <c r="H12">
        <v>3321</v>
      </c>
      <c r="I12">
        <v>1.7</v>
      </c>
    </row>
    <row r="13" spans="1:9" x14ac:dyDescent="0.2">
      <c r="A13">
        <v>1</v>
      </c>
      <c r="B13">
        <v>12</v>
      </c>
      <c r="C13" t="s">
        <v>26</v>
      </c>
      <c r="D13">
        <v>16049</v>
      </c>
      <c r="E13">
        <v>8.4</v>
      </c>
      <c r="F13">
        <v>12358</v>
      </c>
      <c r="G13">
        <v>6.4</v>
      </c>
      <c r="H13">
        <v>5871</v>
      </c>
      <c r="I13">
        <v>3.1</v>
      </c>
    </row>
    <row r="14" spans="1:9" x14ac:dyDescent="0.2">
      <c r="A14">
        <v>1</v>
      </c>
      <c r="B14">
        <v>13</v>
      </c>
      <c r="C14" t="s">
        <v>24</v>
      </c>
      <c r="D14">
        <v>13589</v>
      </c>
      <c r="E14">
        <v>7.1</v>
      </c>
      <c r="F14">
        <v>11279</v>
      </c>
      <c r="G14">
        <v>5.9</v>
      </c>
      <c r="H14">
        <v>4490</v>
      </c>
      <c r="I14">
        <v>2.2999999999999998</v>
      </c>
    </row>
    <row r="15" spans="1:9" x14ac:dyDescent="0.2">
      <c r="A15">
        <v>1</v>
      </c>
      <c r="B15">
        <v>14</v>
      </c>
      <c r="C15" s="85" t="s">
        <v>25</v>
      </c>
      <c r="D15">
        <v>2460</v>
      </c>
      <c r="E15">
        <v>1.3</v>
      </c>
      <c r="F15">
        <v>1079</v>
      </c>
      <c r="G15">
        <v>0.6</v>
      </c>
      <c r="H15">
        <v>1381</v>
      </c>
      <c r="I15">
        <v>0.7</v>
      </c>
    </row>
    <row r="16" spans="1:9" x14ac:dyDescent="0.2">
      <c r="A16">
        <v>1</v>
      </c>
      <c r="B16">
        <v>15</v>
      </c>
      <c r="C16" s="85" t="s">
        <v>27</v>
      </c>
      <c r="D16">
        <v>192047</v>
      </c>
      <c r="E16">
        <v>100</v>
      </c>
      <c r="F16">
        <v>105477</v>
      </c>
      <c r="G16">
        <v>54.9</v>
      </c>
      <c r="H16">
        <v>86570</v>
      </c>
      <c r="I16">
        <v>45.1</v>
      </c>
    </row>
    <row r="17" spans="1:9" x14ac:dyDescent="0.2">
      <c r="A17" t="s">
        <v>41</v>
      </c>
      <c r="B17">
        <v>1</v>
      </c>
      <c r="C17" t="s">
        <v>17</v>
      </c>
      <c r="D17">
        <v>81429</v>
      </c>
      <c r="E17">
        <v>42.2</v>
      </c>
      <c r="F17">
        <v>33495</v>
      </c>
      <c r="G17">
        <v>17.399999999999999</v>
      </c>
      <c r="H17">
        <v>47933</v>
      </c>
      <c r="I17">
        <v>24.8</v>
      </c>
    </row>
    <row r="18" spans="1:9" x14ac:dyDescent="0.2">
      <c r="A18" t="s">
        <v>41</v>
      </c>
      <c r="B18">
        <v>2</v>
      </c>
      <c r="C18" s="85" t="s">
        <v>18</v>
      </c>
      <c r="D18">
        <v>39827</v>
      </c>
      <c r="E18">
        <v>20.6</v>
      </c>
      <c r="F18">
        <v>20826</v>
      </c>
      <c r="G18">
        <v>10.8</v>
      </c>
      <c r="H18">
        <v>19001</v>
      </c>
      <c r="I18">
        <v>9.8000000000000007</v>
      </c>
    </row>
    <row r="19" spans="1:9" x14ac:dyDescent="0.2">
      <c r="A19" t="s">
        <v>41</v>
      </c>
      <c r="B19">
        <v>3</v>
      </c>
      <c r="C19" s="85" t="s">
        <v>19</v>
      </c>
      <c r="D19">
        <v>7620</v>
      </c>
      <c r="E19">
        <v>3.9</v>
      </c>
      <c r="F19">
        <v>4338</v>
      </c>
      <c r="G19">
        <v>2.2000000000000002</v>
      </c>
      <c r="H19">
        <v>3282</v>
      </c>
      <c r="I19">
        <v>1.7</v>
      </c>
    </row>
    <row r="20" spans="1:9" x14ac:dyDescent="0.2">
      <c r="A20" t="s">
        <v>41</v>
      </c>
      <c r="B20">
        <v>4</v>
      </c>
      <c r="C20" t="s">
        <v>20</v>
      </c>
      <c r="D20">
        <v>6181</v>
      </c>
      <c r="E20">
        <v>3.2</v>
      </c>
      <c r="F20">
        <v>5117</v>
      </c>
      <c r="G20">
        <v>2.7</v>
      </c>
      <c r="H20">
        <v>1097</v>
      </c>
      <c r="I20">
        <v>0.6</v>
      </c>
    </row>
    <row r="21" spans="1:9" x14ac:dyDescent="0.2">
      <c r="A21" t="s">
        <v>41</v>
      </c>
      <c r="B21">
        <v>5</v>
      </c>
      <c r="C21" s="85" t="s">
        <v>21</v>
      </c>
      <c r="D21">
        <v>3130</v>
      </c>
      <c r="E21">
        <v>1.6</v>
      </c>
      <c r="F21">
        <v>2984</v>
      </c>
      <c r="G21">
        <v>1.5</v>
      </c>
      <c r="H21">
        <v>146</v>
      </c>
      <c r="I21">
        <v>0.1</v>
      </c>
    </row>
    <row r="22" spans="1:9" x14ac:dyDescent="0.2">
      <c r="A22" t="s">
        <v>41</v>
      </c>
      <c r="B22">
        <v>6</v>
      </c>
      <c r="C22" s="85" t="s">
        <v>22</v>
      </c>
      <c r="D22">
        <v>3315</v>
      </c>
      <c r="E22">
        <v>1.7</v>
      </c>
      <c r="F22">
        <v>2919</v>
      </c>
      <c r="G22">
        <v>1.5</v>
      </c>
      <c r="H22">
        <v>396</v>
      </c>
      <c r="I22">
        <v>0.2</v>
      </c>
    </row>
    <row r="23" spans="1:9" x14ac:dyDescent="0.2">
      <c r="A23" t="s">
        <v>41</v>
      </c>
      <c r="B23">
        <v>7</v>
      </c>
      <c r="C23" t="s">
        <v>33</v>
      </c>
      <c r="D23">
        <v>6973</v>
      </c>
      <c r="E23">
        <v>3.6</v>
      </c>
      <c r="F23">
        <v>6156</v>
      </c>
      <c r="G23">
        <v>3.2</v>
      </c>
      <c r="H23">
        <v>817</v>
      </c>
      <c r="I23">
        <v>0.4</v>
      </c>
    </row>
    <row r="24" spans="1:9" x14ac:dyDescent="0.2">
      <c r="A24" t="s">
        <v>41</v>
      </c>
      <c r="B24">
        <v>8</v>
      </c>
      <c r="C24" s="85" t="s">
        <v>23</v>
      </c>
      <c r="D24">
        <v>44561</v>
      </c>
      <c r="E24">
        <v>23.1</v>
      </c>
      <c r="F24">
        <v>30049</v>
      </c>
      <c r="G24">
        <v>15.6</v>
      </c>
      <c r="H24">
        <v>14512</v>
      </c>
      <c r="I24">
        <v>7.5</v>
      </c>
    </row>
    <row r="25" spans="1:9" x14ac:dyDescent="0.2">
      <c r="A25" t="s">
        <v>41</v>
      </c>
      <c r="B25">
        <v>9</v>
      </c>
      <c r="C25" s="85" t="s">
        <v>42</v>
      </c>
      <c r="D25">
        <v>28395</v>
      </c>
      <c r="E25">
        <v>14.7</v>
      </c>
      <c r="F25">
        <v>17652</v>
      </c>
      <c r="G25">
        <v>9.1</v>
      </c>
      <c r="H25">
        <v>8563</v>
      </c>
      <c r="I25">
        <v>4.4000000000000004</v>
      </c>
    </row>
    <row r="26" spans="1:9" x14ac:dyDescent="0.2">
      <c r="A26" t="s">
        <v>41</v>
      </c>
      <c r="B26">
        <v>10</v>
      </c>
      <c r="C26" s="85" t="s">
        <v>24</v>
      </c>
      <c r="D26">
        <v>20176</v>
      </c>
      <c r="E26">
        <v>10.5</v>
      </c>
      <c r="F26">
        <v>12790</v>
      </c>
      <c r="G26">
        <v>6.6</v>
      </c>
      <c r="H26">
        <v>5206</v>
      </c>
      <c r="I26">
        <v>2.7</v>
      </c>
    </row>
    <row r="27" spans="1:9" x14ac:dyDescent="0.2">
      <c r="A27" t="s">
        <v>41</v>
      </c>
      <c r="B27">
        <v>11</v>
      </c>
      <c r="C27" t="s">
        <v>25</v>
      </c>
      <c r="D27">
        <v>8219</v>
      </c>
      <c r="E27">
        <v>4.3</v>
      </c>
      <c r="F27">
        <v>4862</v>
      </c>
      <c r="G27">
        <v>2.5</v>
      </c>
      <c r="H27">
        <v>3358</v>
      </c>
      <c r="I27">
        <v>1.7</v>
      </c>
    </row>
    <row r="28" spans="1:9" x14ac:dyDescent="0.2">
      <c r="A28" t="s">
        <v>41</v>
      </c>
      <c r="B28">
        <v>12</v>
      </c>
      <c r="C28" t="s">
        <v>26</v>
      </c>
      <c r="D28">
        <v>16165</v>
      </c>
      <c r="E28">
        <v>8.4</v>
      </c>
      <c r="F28">
        <v>12397</v>
      </c>
      <c r="G28">
        <v>6.4</v>
      </c>
      <c r="H28">
        <v>5948</v>
      </c>
      <c r="I28">
        <v>3.1</v>
      </c>
    </row>
    <row r="29" spans="1:9" x14ac:dyDescent="0.2">
      <c r="A29" t="s">
        <v>41</v>
      </c>
      <c r="B29">
        <v>13</v>
      </c>
      <c r="C29" t="s">
        <v>24</v>
      </c>
      <c r="D29">
        <v>13687</v>
      </c>
      <c r="E29">
        <v>7.1</v>
      </c>
      <c r="F29">
        <v>11316</v>
      </c>
      <c r="G29">
        <v>5.9</v>
      </c>
      <c r="H29">
        <v>4551</v>
      </c>
      <c r="I29">
        <v>2.4</v>
      </c>
    </row>
    <row r="30" spans="1:9" x14ac:dyDescent="0.2">
      <c r="A30" t="s">
        <v>41</v>
      </c>
      <c r="B30">
        <v>14</v>
      </c>
      <c r="C30" s="85" t="s">
        <v>25</v>
      </c>
      <c r="D30">
        <v>2478</v>
      </c>
      <c r="E30">
        <v>1.3</v>
      </c>
      <c r="F30">
        <v>1081</v>
      </c>
      <c r="G30">
        <v>0.6</v>
      </c>
      <c r="H30">
        <v>1397</v>
      </c>
      <c r="I30">
        <v>0.7</v>
      </c>
    </row>
    <row r="31" spans="1:9" x14ac:dyDescent="0.2">
      <c r="A31" t="s">
        <v>41</v>
      </c>
      <c r="B31">
        <v>15</v>
      </c>
      <c r="C31" s="85" t="s">
        <v>27</v>
      </c>
      <c r="D31">
        <v>193035</v>
      </c>
      <c r="E31">
        <v>100</v>
      </c>
      <c r="F31">
        <v>105851</v>
      </c>
      <c r="G31">
        <v>54.8</v>
      </c>
      <c r="H31">
        <v>87184</v>
      </c>
      <c r="I31">
        <v>45.2</v>
      </c>
    </row>
    <row r="32" spans="1:9" x14ac:dyDescent="0.2">
      <c r="A32">
        <v>2</v>
      </c>
      <c r="B32">
        <v>1</v>
      </c>
      <c r="C32" s="85" t="s">
        <v>17</v>
      </c>
      <c r="D32">
        <v>31191</v>
      </c>
      <c r="E32">
        <v>35.9</v>
      </c>
      <c r="F32">
        <v>343</v>
      </c>
      <c r="G32">
        <v>50065</v>
      </c>
      <c r="H32">
        <v>47.6</v>
      </c>
      <c r="I32">
        <v>849</v>
      </c>
    </row>
    <row r="33" spans="1:9" x14ac:dyDescent="0.2">
      <c r="A33">
        <v>2</v>
      </c>
      <c r="B33">
        <v>2</v>
      </c>
      <c r="C33" t="s">
        <v>18</v>
      </c>
      <c r="D33">
        <v>20546</v>
      </c>
      <c r="E33">
        <v>23.7</v>
      </c>
      <c r="F33">
        <v>226</v>
      </c>
      <c r="G33">
        <v>18960</v>
      </c>
      <c r="H33">
        <v>18</v>
      </c>
      <c r="I33">
        <v>321</v>
      </c>
    </row>
    <row r="34" spans="1:9" x14ac:dyDescent="0.2">
      <c r="A34">
        <v>2</v>
      </c>
      <c r="B34">
        <v>3</v>
      </c>
      <c r="C34" t="s">
        <v>19</v>
      </c>
      <c r="D34">
        <v>6773</v>
      </c>
      <c r="E34">
        <v>7.8</v>
      </c>
      <c r="F34">
        <v>74</v>
      </c>
      <c r="G34">
        <v>722</v>
      </c>
      <c r="H34">
        <v>0.7</v>
      </c>
      <c r="I34">
        <v>12</v>
      </c>
    </row>
    <row r="35" spans="1:9" x14ac:dyDescent="0.2">
      <c r="A35">
        <v>2</v>
      </c>
      <c r="B35">
        <v>4</v>
      </c>
      <c r="C35" t="s">
        <v>20</v>
      </c>
      <c r="D35">
        <v>2737</v>
      </c>
      <c r="E35">
        <v>3.2</v>
      </c>
      <c r="F35">
        <v>30</v>
      </c>
      <c r="G35">
        <v>3361</v>
      </c>
      <c r="H35">
        <v>3.2</v>
      </c>
      <c r="I35">
        <v>57</v>
      </c>
    </row>
    <row r="36" spans="1:9" x14ac:dyDescent="0.2">
      <c r="A36">
        <v>2</v>
      </c>
      <c r="B36">
        <v>5</v>
      </c>
      <c r="C36" s="85" t="s">
        <v>21</v>
      </c>
      <c r="D36">
        <v>867</v>
      </c>
      <c r="E36">
        <v>1</v>
      </c>
      <c r="F36">
        <v>10</v>
      </c>
      <c r="G36">
        <v>2260</v>
      </c>
      <c r="H36">
        <v>2.1</v>
      </c>
      <c r="I36">
        <v>38</v>
      </c>
    </row>
    <row r="37" spans="1:9" x14ac:dyDescent="0.2">
      <c r="A37">
        <v>2</v>
      </c>
      <c r="B37">
        <v>6</v>
      </c>
      <c r="C37" s="85" t="s">
        <v>22</v>
      </c>
      <c r="D37">
        <v>1541</v>
      </c>
      <c r="E37">
        <v>1.8</v>
      </c>
      <c r="F37">
        <v>17</v>
      </c>
      <c r="G37">
        <v>1754</v>
      </c>
      <c r="H37">
        <v>1.7</v>
      </c>
      <c r="I37">
        <v>30</v>
      </c>
    </row>
    <row r="38" spans="1:9" x14ac:dyDescent="0.2">
      <c r="A38">
        <v>2</v>
      </c>
      <c r="B38">
        <v>7</v>
      </c>
      <c r="C38" s="85" t="s">
        <v>33</v>
      </c>
      <c r="D38">
        <v>3950</v>
      </c>
      <c r="E38">
        <v>4.5999999999999996</v>
      </c>
      <c r="F38">
        <v>43</v>
      </c>
      <c r="G38">
        <v>3000</v>
      </c>
      <c r="H38">
        <v>2.9</v>
      </c>
      <c r="I38">
        <v>51</v>
      </c>
    </row>
    <row r="39" spans="1:9" x14ac:dyDescent="0.2">
      <c r="A39">
        <v>2</v>
      </c>
      <c r="B39">
        <v>8</v>
      </c>
      <c r="C39" t="s">
        <v>23</v>
      </c>
      <c r="D39">
        <v>19189</v>
      </c>
      <c r="E39">
        <v>22.1</v>
      </c>
      <c r="F39">
        <v>211</v>
      </c>
      <c r="G39">
        <v>25131</v>
      </c>
      <c r="H39">
        <v>23.9</v>
      </c>
      <c r="I39">
        <v>426</v>
      </c>
    </row>
    <row r="40" spans="1:9" x14ac:dyDescent="0.2">
      <c r="A40">
        <v>2</v>
      </c>
      <c r="B40">
        <v>9</v>
      </c>
      <c r="C40" t="s">
        <v>42</v>
      </c>
      <c r="D40">
        <v>12274</v>
      </c>
      <c r="E40">
        <v>14.1</v>
      </c>
      <c r="F40">
        <v>135</v>
      </c>
      <c r="G40">
        <v>15997</v>
      </c>
      <c r="H40">
        <v>15.2</v>
      </c>
      <c r="I40">
        <v>271</v>
      </c>
    </row>
    <row r="41" spans="1:9" x14ac:dyDescent="0.2">
      <c r="A41">
        <v>2</v>
      </c>
      <c r="B41">
        <v>10</v>
      </c>
      <c r="C41" t="s">
        <v>24</v>
      </c>
      <c r="D41">
        <v>8769</v>
      </c>
      <c r="E41">
        <v>10.1</v>
      </c>
      <c r="F41">
        <v>96</v>
      </c>
      <c r="G41">
        <v>11322</v>
      </c>
      <c r="H41">
        <v>10.8</v>
      </c>
      <c r="I41">
        <v>192</v>
      </c>
    </row>
    <row r="42" spans="1:9" x14ac:dyDescent="0.2">
      <c r="A42">
        <v>2</v>
      </c>
      <c r="B42">
        <v>11</v>
      </c>
      <c r="C42" t="s">
        <v>25</v>
      </c>
      <c r="D42">
        <v>3505</v>
      </c>
      <c r="E42">
        <v>4</v>
      </c>
      <c r="F42">
        <v>39</v>
      </c>
      <c r="G42">
        <v>4675</v>
      </c>
      <c r="H42">
        <v>4.4000000000000004</v>
      </c>
      <c r="I42">
        <v>79</v>
      </c>
    </row>
    <row r="43" spans="1:9" x14ac:dyDescent="0.2">
      <c r="A43">
        <v>2</v>
      </c>
      <c r="B43">
        <v>12</v>
      </c>
      <c r="C43" t="s">
        <v>26</v>
      </c>
      <c r="D43">
        <v>6915</v>
      </c>
      <c r="E43">
        <v>8</v>
      </c>
      <c r="F43">
        <v>76</v>
      </c>
      <c r="G43">
        <v>9134</v>
      </c>
      <c r="H43">
        <v>8.6999999999999993</v>
      </c>
      <c r="I43">
        <v>155</v>
      </c>
    </row>
    <row r="44" spans="1:9" x14ac:dyDescent="0.2">
      <c r="A44">
        <v>2</v>
      </c>
      <c r="B44">
        <v>13</v>
      </c>
      <c r="C44" t="s">
        <v>24</v>
      </c>
      <c r="D44">
        <v>6008</v>
      </c>
      <c r="E44">
        <v>6.9</v>
      </c>
      <c r="F44">
        <v>66</v>
      </c>
      <c r="G44">
        <v>7581</v>
      </c>
      <c r="H44">
        <v>7.2</v>
      </c>
      <c r="I44">
        <v>128</v>
      </c>
    </row>
    <row r="45" spans="1:9" x14ac:dyDescent="0.2">
      <c r="A45">
        <v>2</v>
      </c>
      <c r="B45">
        <v>14</v>
      </c>
      <c r="C45" t="s">
        <v>25</v>
      </c>
      <c r="D45">
        <v>907</v>
      </c>
      <c r="E45">
        <v>1</v>
      </c>
      <c r="F45">
        <v>10</v>
      </c>
      <c r="G45">
        <v>1553</v>
      </c>
      <c r="H45">
        <v>1.5</v>
      </c>
      <c r="I45">
        <v>26</v>
      </c>
    </row>
    <row r="46" spans="1:9" x14ac:dyDescent="0.2">
      <c r="A46">
        <v>2</v>
      </c>
      <c r="B46">
        <v>15</v>
      </c>
      <c r="C46" t="s">
        <v>27</v>
      </c>
      <c r="D46">
        <v>86794</v>
      </c>
      <c r="E46">
        <v>100</v>
      </c>
      <c r="F46">
        <v>954</v>
      </c>
      <c r="G46">
        <v>105253</v>
      </c>
      <c r="H46">
        <v>100</v>
      </c>
      <c r="I46">
        <v>1784</v>
      </c>
    </row>
    <row r="47" spans="1:9" x14ac:dyDescent="0.2">
      <c r="A47">
        <v>3</v>
      </c>
      <c r="B47">
        <v>1</v>
      </c>
      <c r="C47" t="s">
        <v>17</v>
      </c>
      <c r="D47">
        <v>75684</v>
      </c>
      <c r="E47">
        <v>81256</v>
      </c>
      <c r="F47">
        <v>5572</v>
      </c>
      <c r="G47">
        <v>7.4</v>
      </c>
    </row>
    <row r="48" spans="1:9" x14ac:dyDescent="0.2">
      <c r="A48">
        <v>3</v>
      </c>
      <c r="B48">
        <v>2</v>
      </c>
      <c r="C48" t="s">
        <v>18</v>
      </c>
      <c r="D48">
        <v>36043</v>
      </c>
      <c r="E48">
        <v>39506</v>
      </c>
      <c r="F48">
        <v>3463</v>
      </c>
      <c r="G48">
        <v>9.6</v>
      </c>
    </row>
    <row r="49" spans="1:7" x14ac:dyDescent="0.2">
      <c r="A49">
        <v>3</v>
      </c>
      <c r="B49">
        <v>3</v>
      </c>
      <c r="C49" t="s">
        <v>19</v>
      </c>
      <c r="D49">
        <v>6990</v>
      </c>
      <c r="E49">
        <v>7495</v>
      </c>
      <c r="F49">
        <v>504</v>
      </c>
      <c r="G49">
        <v>7.2</v>
      </c>
    </row>
    <row r="50" spans="1:7" x14ac:dyDescent="0.2">
      <c r="A50">
        <v>3</v>
      </c>
      <c r="B50">
        <v>4</v>
      </c>
      <c r="C50" t="s">
        <v>20</v>
      </c>
      <c r="D50">
        <v>5842</v>
      </c>
      <c r="E50">
        <v>6098</v>
      </c>
      <c r="F50">
        <v>256</v>
      </c>
      <c r="G50">
        <v>4.4000000000000004</v>
      </c>
    </row>
    <row r="51" spans="1:7" x14ac:dyDescent="0.2">
      <c r="A51">
        <v>3</v>
      </c>
      <c r="B51">
        <v>5</v>
      </c>
      <c r="C51" t="s">
        <v>21</v>
      </c>
      <c r="D51">
        <v>2803</v>
      </c>
      <c r="E51">
        <v>3127</v>
      </c>
      <c r="F51">
        <v>325</v>
      </c>
      <c r="G51">
        <v>11.6</v>
      </c>
    </row>
    <row r="52" spans="1:7" x14ac:dyDescent="0.2">
      <c r="A52">
        <v>3</v>
      </c>
      <c r="B52">
        <v>6</v>
      </c>
      <c r="C52" t="s">
        <v>22</v>
      </c>
      <c r="D52">
        <v>2959</v>
      </c>
      <c r="E52">
        <v>3295</v>
      </c>
      <c r="F52">
        <v>336</v>
      </c>
      <c r="G52">
        <v>11.4</v>
      </c>
    </row>
    <row r="53" spans="1:7" x14ac:dyDescent="0.2">
      <c r="A53">
        <v>3</v>
      </c>
      <c r="B53">
        <v>7</v>
      </c>
      <c r="C53" t="s">
        <v>33</v>
      </c>
      <c r="D53">
        <v>6705</v>
      </c>
      <c r="E53">
        <v>6951</v>
      </c>
      <c r="F53">
        <v>245</v>
      </c>
      <c r="G53">
        <v>3.7</v>
      </c>
    </row>
    <row r="54" spans="1:7" x14ac:dyDescent="0.2">
      <c r="A54">
        <v>3</v>
      </c>
      <c r="B54">
        <v>8</v>
      </c>
      <c r="C54" t="s">
        <v>23</v>
      </c>
      <c r="D54">
        <v>43433</v>
      </c>
      <c r="E54">
        <v>44320</v>
      </c>
      <c r="F54">
        <v>887</v>
      </c>
      <c r="G54">
        <v>2</v>
      </c>
    </row>
    <row r="55" spans="1:7" x14ac:dyDescent="0.2">
      <c r="A55">
        <v>3</v>
      </c>
      <c r="B55">
        <v>9</v>
      </c>
      <c r="C55" t="s">
        <v>42</v>
      </c>
      <c r="D55">
        <v>26006</v>
      </c>
      <c r="E55">
        <v>28271</v>
      </c>
      <c r="F55">
        <v>2265</v>
      </c>
      <c r="G55">
        <v>8.6999999999999993</v>
      </c>
    </row>
    <row r="56" spans="1:7" x14ac:dyDescent="0.2">
      <c r="A56">
        <v>3</v>
      </c>
      <c r="B56">
        <v>10</v>
      </c>
      <c r="C56" t="s">
        <v>24</v>
      </c>
      <c r="D56">
        <v>18471</v>
      </c>
      <c r="E56">
        <v>20091</v>
      </c>
      <c r="F56">
        <v>1619</v>
      </c>
      <c r="G56">
        <v>8.8000000000000007</v>
      </c>
    </row>
    <row r="57" spans="1:7" x14ac:dyDescent="0.2">
      <c r="A57">
        <v>3</v>
      </c>
      <c r="B57">
        <v>11</v>
      </c>
      <c r="C57" t="s">
        <v>25</v>
      </c>
      <c r="D57">
        <v>7534</v>
      </c>
      <c r="E57">
        <v>8180</v>
      </c>
      <c r="F57">
        <v>646</v>
      </c>
      <c r="G57">
        <v>8.6</v>
      </c>
    </row>
    <row r="58" spans="1:7" x14ac:dyDescent="0.2">
      <c r="A58">
        <v>3</v>
      </c>
      <c r="B58">
        <v>12</v>
      </c>
      <c r="C58" t="s">
        <v>26</v>
      </c>
      <c r="D58">
        <v>17427</v>
      </c>
      <c r="E58">
        <v>16049</v>
      </c>
      <c r="F58">
        <v>-1378</v>
      </c>
      <c r="G58">
        <v>-7.9</v>
      </c>
    </row>
    <row r="59" spans="1:7" x14ac:dyDescent="0.2">
      <c r="A59">
        <v>3</v>
      </c>
      <c r="B59">
        <v>13</v>
      </c>
      <c r="C59" t="s">
        <v>24</v>
      </c>
      <c r="D59">
        <v>15096</v>
      </c>
      <c r="E59">
        <v>13589</v>
      </c>
      <c r="F59">
        <v>-1507</v>
      </c>
      <c r="G59">
        <v>-10</v>
      </c>
    </row>
    <row r="60" spans="1:7" x14ac:dyDescent="0.2">
      <c r="A60">
        <v>3</v>
      </c>
      <c r="B60">
        <v>14</v>
      </c>
      <c r="C60" t="s">
        <v>25</v>
      </c>
      <c r="D60">
        <v>2332</v>
      </c>
      <c r="E60">
        <v>2460</v>
      </c>
      <c r="F60">
        <v>129</v>
      </c>
      <c r="G60">
        <v>5.5</v>
      </c>
    </row>
    <row r="61" spans="1:7" x14ac:dyDescent="0.2">
      <c r="A61">
        <v>3</v>
      </c>
      <c r="B61">
        <v>15</v>
      </c>
      <c r="C61" t="s">
        <v>27</v>
      </c>
      <c r="D61">
        <v>180459</v>
      </c>
      <c r="E61">
        <v>192047</v>
      </c>
      <c r="F61">
        <v>11588</v>
      </c>
      <c r="G61">
        <v>6.4</v>
      </c>
    </row>
    <row r="62" spans="1:7" x14ac:dyDescent="0.2">
      <c r="A62" t="s">
        <v>106</v>
      </c>
      <c r="B62">
        <v>1</v>
      </c>
      <c r="C62" t="s">
        <v>17</v>
      </c>
      <c r="D62">
        <v>75874</v>
      </c>
      <c r="E62">
        <v>81429</v>
      </c>
      <c r="F62">
        <v>5555</v>
      </c>
      <c r="G62">
        <v>7.3</v>
      </c>
    </row>
    <row r="63" spans="1:7" x14ac:dyDescent="0.2">
      <c r="A63" t="s">
        <v>106</v>
      </c>
      <c r="B63">
        <v>2</v>
      </c>
      <c r="C63" t="s">
        <v>18</v>
      </c>
      <c r="D63">
        <v>36316</v>
      </c>
      <c r="E63">
        <v>39827</v>
      </c>
      <c r="F63">
        <v>3512</v>
      </c>
      <c r="G63">
        <v>9.6999999999999993</v>
      </c>
    </row>
    <row r="64" spans="1:7" x14ac:dyDescent="0.2">
      <c r="A64" t="s">
        <v>106</v>
      </c>
      <c r="B64">
        <v>3</v>
      </c>
      <c r="C64" t="s">
        <v>19</v>
      </c>
      <c r="D64">
        <v>7234</v>
      </c>
      <c r="E64">
        <v>7620</v>
      </c>
      <c r="F64">
        <v>386</v>
      </c>
      <c r="G64">
        <v>5.3</v>
      </c>
    </row>
    <row r="65" spans="1:7" x14ac:dyDescent="0.2">
      <c r="A65" t="s">
        <v>106</v>
      </c>
      <c r="B65">
        <v>4</v>
      </c>
      <c r="C65" t="s">
        <v>20</v>
      </c>
      <c r="D65">
        <v>5986</v>
      </c>
      <c r="E65">
        <v>6181</v>
      </c>
      <c r="F65">
        <v>194</v>
      </c>
      <c r="G65">
        <v>3.2</v>
      </c>
    </row>
    <row r="66" spans="1:7" x14ac:dyDescent="0.2">
      <c r="A66" t="s">
        <v>106</v>
      </c>
      <c r="B66">
        <v>5</v>
      </c>
      <c r="C66" t="s">
        <v>21</v>
      </c>
      <c r="D66">
        <v>2808</v>
      </c>
      <c r="E66">
        <v>3130</v>
      </c>
      <c r="F66">
        <v>322</v>
      </c>
      <c r="G66">
        <v>11.5</v>
      </c>
    </row>
    <row r="67" spans="1:7" x14ac:dyDescent="0.2">
      <c r="A67" t="s">
        <v>106</v>
      </c>
      <c r="B67">
        <v>6</v>
      </c>
      <c r="C67" t="s">
        <v>22</v>
      </c>
      <c r="D67">
        <v>2985</v>
      </c>
      <c r="E67">
        <v>3315</v>
      </c>
      <c r="F67">
        <v>330</v>
      </c>
      <c r="G67">
        <v>11.1</v>
      </c>
    </row>
    <row r="68" spans="1:7" x14ac:dyDescent="0.2">
      <c r="A68" t="s">
        <v>106</v>
      </c>
      <c r="B68">
        <v>7</v>
      </c>
      <c r="C68" t="s">
        <v>33</v>
      </c>
      <c r="D68">
        <v>6751</v>
      </c>
      <c r="E68">
        <v>6973</v>
      </c>
      <c r="F68">
        <v>222</v>
      </c>
      <c r="G68">
        <v>3.3</v>
      </c>
    </row>
    <row r="69" spans="1:7" x14ac:dyDescent="0.2">
      <c r="A69" t="s">
        <v>106</v>
      </c>
      <c r="B69">
        <v>8</v>
      </c>
      <c r="C69" t="s">
        <v>23</v>
      </c>
      <c r="D69">
        <v>43645</v>
      </c>
      <c r="E69">
        <v>44561</v>
      </c>
      <c r="F69">
        <v>915</v>
      </c>
      <c r="G69">
        <v>2.1</v>
      </c>
    </row>
    <row r="70" spans="1:7" x14ac:dyDescent="0.2">
      <c r="A70" t="s">
        <v>106</v>
      </c>
      <c r="B70">
        <v>9</v>
      </c>
      <c r="C70" t="s">
        <v>42</v>
      </c>
      <c r="D70">
        <v>26138</v>
      </c>
      <c r="E70">
        <v>28395</v>
      </c>
      <c r="F70">
        <v>2258</v>
      </c>
      <c r="G70">
        <v>8.6</v>
      </c>
    </row>
    <row r="71" spans="1:7" x14ac:dyDescent="0.2">
      <c r="A71" t="s">
        <v>106</v>
      </c>
      <c r="B71">
        <v>10</v>
      </c>
      <c r="C71" t="s">
        <v>24</v>
      </c>
      <c r="D71">
        <v>18565</v>
      </c>
      <c r="E71">
        <v>20176</v>
      </c>
      <c r="F71">
        <v>1611</v>
      </c>
      <c r="G71">
        <v>8.6999999999999993</v>
      </c>
    </row>
    <row r="72" spans="1:7" x14ac:dyDescent="0.2">
      <c r="A72" t="s">
        <v>106</v>
      </c>
      <c r="B72">
        <v>11</v>
      </c>
      <c r="C72" t="s">
        <v>25</v>
      </c>
      <c r="D72">
        <v>7572</v>
      </c>
      <c r="E72">
        <v>8219</v>
      </c>
      <c r="F72">
        <v>647</v>
      </c>
      <c r="G72">
        <v>8.5</v>
      </c>
    </row>
    <row r="73" spans="1:7" x14ac:dyDescent="0.2">
      <c r="A73" t="s">
        <v>106</v>
      </c>
      <c r="B73">
        <v>12</v>
      </c>
      <c r="C73" t="s">
        <v>26</v>
      </c>
      <c r="D73">
        <v>17507</v>
      </c>
      <c r="E73">
        <v>16165</v>
      </c>
      <c r="F73">
        <v>-1342</v>
      </c>
      <c r="G73">
        <v>-7.7</v>
      </c>
    </row>
    <row r="74" spans="1:7" x14ac:dyDescent="0.2">
      <c r="A74" t="s">
        <v>106</v>
      </c>
      <c r="B74">
        <v>13</v>
      </c>
      <c r="C74" t="s">
        <v>24</v>
      </c>
      <c r="D74">
        <v>15160</v>
      </c>
      <c r="E74">
        <v>13687</v>
      </c>
      <c r="F74">
        <v>-1473</v>
      </c>
      <c r="G74">
        <v>-9.6999999999999993</v>
      </c>
    </row>
    <row r="75" spans="1:7" x14ac:dyDescent="0.2">
      <c r="A75" t="s">
        <v>106</v>
      </c>
      <c r="B75">
        <v>14</v>
      </c>
      <c r="C75" t="s">
        <v>25</v>
      </c>
      <c r="D75">
        <v>2347</v>
      </c>
      <c r="E75">
        <v>2478</v>
      </c>
      <c r="F75">
        <v>131</v>
      </c>
      <c r="G75">
        <v>5.6</v>
      </c>
    </row>
    <row r="76" spans="1:7" x14ac:dyDescent="0.2">
      <c r="A76" t="s">
        <v>106</v>
      </c>
      <c r="B76">
        <v>15</v>
      </c>
      <c r="C76" t="s">
        <v>27</v>
      </c>
      <c r="D76">
        <v>181599</v>
      </c>
      <c r="E76">
        <v>193035</v>
      </c>
      <c r="F76">
        <v>11436</v>
      </c>
      <c r="G76">
        <v>6.3</v>
      </c>
    </row>
    <row r="77" spans="1:7" x14ac:dyDescent="0.2">
      <c r="A77">
        <v>4</v>
      </c>
      <c r="B77">
        <v>1</v>
      </c>
      <c r="C77" t="s">
        <v>17</v>
      </c>
      <c r="D77">
        <v>29336</v>
      </c>
      <c r="E77">
        <v>31191</v>
      </c>
      <c r="F77">
        <v>1854</v>
      </c>
      <c r="G77">
        <v>6.3</v>
      </c>
    </row>
    <row r="78" spans="1:7" x14ac:dyDescent="0.2">
      <c r="A78">
        <v>4</v>
      </c>
      <c r="B78">
        <v>2</v>
      </c>
      <c r="C78" t="s">
        <v>18</v>
      </c>
      <c r="D78">
        <v>18405</v>
      </c>
      <c r="E78">
        <v>20546</v>
      </c>
      <c r="F78">
        <v>2141</v>
      </c>
      <c r="G78">
        <v>11.6</v>
      </c>
    </row>
    <row r="79" spans="1:7" x14ac:dyDescent="0.2">
      <c r="A79">
        <v>4</v>
      </c>
      <c r="B79">
        <v>3</v>
      </c>
      <c r="C79" t="s">
        <v>19</v>
      </c>
      <c r="D79">
        <v>6166</v>
      </c>
      <c r="E79">
        <v>6773</v>
      </c>
      <c r="F79">
        <v>607</v>
      </c>
      <c r="G79">
        <v>9.8000000000000007</v>
      </c>
    </row>
    <row r="80" spans="1:7" x14ac:dyDescent="0.2">
      <c r="A80">
        <v>4</v>
      </c>
      <c r="B80">
        <v>4</v>
      </c>
      <c r="C80" t="s">
        <v>20</v>
      </c>
      <c r="D80">
        <v>2639</v>
      </c>
      <c r="E80">
        <v>2737</v>
      </c>
      <c r="F80">
        <v>98</v>
      </c>
      <c r="G80">
        <v>3.7</v>
      </c>
    </row>
    <row r="81" spans="1:7" x14ac:dyDescent="0.2">
      <c r="A81">
        <v>4</v>
      </c>
      <c r="B81">
        <v>5</v>
      </c>
      <c r="C81" t="s">
        <v>21</v>
      </c>
      <c r="D81">
        <v>791</v>
      </c>
      <c r="E81">
        <v>867</v>
      </c>
      <c r="F81">
        <v>76</v>
      </c>
      <c r="G81">
        <v>9.6</v>
      </c>
    </row>
    <row r="82" spans="1:7" x14ac:dyDescent="0.2">
      <c r="A82">
        <v>4</v>
      </c>
      <c r="B82">
        <v>6</v>
      </c>
      <c r="C82" t="s">
        <v>22</v>
      </c>
      <c r="D82">
        <v>1407</v>
      </c>
      <c r="E82">
        <v>1541</v>
      </c>
      <c r="F82">
        <v>134</v>
      </c>
      <c r="G82">
        <v>9.5</v>
      </c>
    </row>
    <row r="83" spans="1:7" x14ac:dyDescent="0.2">
      <c r="A83">
        <v>4</v>
      </c>
      <c r="B83">
        <v>7</v>
      </c>
      <c r="C83" t="s">
        <v>33</v>
      </c>
      <c r="D83">
        <v>3706</v>
      </c>
      <c r="E83">
        <v>3950</v>
      </c>
      <c r="F83">
        <v>245</v>
      </c>
      <c r="G83">
        <v>6.6</v>
      </c>
    </row>
    <row r="84" spans="1:7" x14ac:dyDescent="0.2">
      <c r="A84">
        <v>4</v>
      </c>
      <c r="B84">
        <v>8</v>
      </c>
      <c r="C84" t="s">
        <v>23</v>
      </c>
      <c r="D84">
        <v>17929</v>
      </c>
      <c r="E84">
        <v>19189</v>
      </c>
      <c r="F84">
        <v>1260</v>
      </c>
      <c r="G84">
        <v>7</v>
      </c>
    </row>
    <row r="85" spans="1:7" x14ac:dyDescent="0.2">
      <c r="A85">
        <v>4</v>
      </c>
      <c r="B85">
        <v>9</v>
      </c>
      <c r="C85" t="s">
        <v>42</v>
      </c>
      <c r="D85">
        <v>11462</v>
      </c>
      <c r="E85">
        <v>12274</v>
      </c>
      <c r="F85">
        <v>813</v>
      </c>
      <c r="G85">
        <v>7.1</v>
      </c>
    </row>
    <row r="86" spans="1:7" x14ac:dyDescent="0.2">
      <c r="A86">
        <v>4</v>
      </c>
      <c r="B86">
        <v>10</v>
      </c>
      <c r="C86" t="s">
        <v>24</v>
      </c>
      <c r="D86">
        <v>8225</v>
      </c>
      <c r="E86">
        <v>8769</v>
      </c>
      <c r="F86">
        <v>544</v>
      </c>
      <c r="G86">
        <v>6.6</v>
      </c>
    </row>
    <row r="87" spans="1:7" x14ac:dyDescent="0.2">
      <c r="A87">
        <v>4</v>
      </c>
      <c r="B87">
        <v>11</v>
      </c>
      <c r="C87" t="s">
        <v>25</v>
      </c>
      <c r="D87">
        <v>3237</v>
      </c>
      <c r="E87">
        <v>3505</v>
      </c>
      <c r="F87">
        <v>268</v>
      </c>
      <c r="G87">
        <v>8.3000000000000007</v>
      </c>
    </row>
    <row r="88" spans="1:7" x14ac:dyDescent="0.2">
      <c r="A88">
        <v>4</v>
      </c>
      <c r="B88">
        <v>12</v>
      </c>
      <c r="C88" t="s">
        <v>26</v>
      </c>
      <c r="D88">
        <v>6468</v>
      </c>
      <c r="E88">
        <v>6915</v>
      </c>
      <c r="F88">
        <v>447</v>
      </c>
      <c r="G88">
        <v>6.9</v>
      </c>
    </row>
    <row r="89" spans="1:7" x14ac:dyDescent="0.2">
      <c r="A89">
        <v>4</v>
      </c>
      <c r="B89">
        <v>13</v>
      </c>
      <c r="C89" t="s">
        <v>24</v>
      </c>
      <c r="D89">
        <v>5594</v>
      </c>
      <c r="E89">
        <v>6008</v>
      </c>
      <c r="F89">
        <v>413</v>
      </c>
      <c r="G89">
        <v>7.4</v>
      </c>
    </row>
    <row r="90" spans="1:7" x14ac:dyDescent="0.2">
      <c r="A90">
        <v>4</v>
      </c>
      <c r="B90">
        <v>14</v>
      </c>
      <c r="C90" t="s">
        <v>25</v>
      </c>
      <c r="D90">
        <v>873</v>
      </c>
      <c r="E90">
        <v>907</v>
      </c>
      <c r="F90">
        <v>34</v>
      </c>
      <c r="G90">
        <v>3.9</v>
      </c>
    </row>
    <row r="91" spans="1:7" x14ac:dyDescent="0.2">
      <c r="A91">
        <v>4</v>
      </c>
      <c r="B91">
        <v>15</v>
      </c>
      <c r="C91" t="s">
        <v>27</v>
      </c>
      <c r="D91">
        <v>80380</v>
      </c>
      <c r="E91">
        <v>86794</v>
      </c>
      <c r="F91">
        <v>6414</v>
      </c>
      <c r="G91">
        <v>8</v>
      </c>
    </row>
    <row r="92" spans="1:7" x14ac:dyDescent="0.2">
      <c r="A92">
        <v>5</v>
      </c>
      <c r="B92">
        <v>1</v>
      </c>
      <c r="C92" t="s">
        <v>17</v>
      </c>
      <c r="D92">
        <v>46347</v>
      </c>
      <c r="E92">
        <v>50065</v>
      </c>
      <c r="F92">
        <v>3718</v>
      </c>
      <c r="G92">
        <v>8</v>
      </c>
    </row>
    <row r="93" spans="1:7" x14ac:dyDescent="0.2">
      <c r="A93">
        <v>5</v>
      </c>
      <c r="B93">
        <v>2</v>
      </c>
      <c r="C93" t="s">
        <v>18</v>
      </c>
      <c r="D93">
        <v>17638</v>
      </c>
      <c r="E93">
        <v>18960</v>
      </c>
      <c r="F93">
        <v>1322</v>
      </c>
      <c r="G93">
        <v>7.5</v>
      </c>
    </row>
    <row r="94" spans="1:7" x14ac:dyDescent="0.2">
      <c r="A94">
        <v>5</v>
      </c>
      <c r="B94">
        <v>3</v>
      </c>
      <c r="C94" t="s">
        <v>19</v>
      </c>
      <c r="D94">
        <v>824</v>
      </c>
      <c r="E94">
        <v>722</v>
      </c>
      <c r="F94">
        <v>-102</v>
      </c>
      <c r="G94">
        <v>-12.4</v>
      </c>
    </row>
    <row r="95" spans="1:7" x14ac:dyDescent="0.2">
      <c r="A95">
        <v>5</v>
      </c>
      <c r="B95">
        <v>4</v>
      </c>
      <c r="C95" t="s">
        <v>20</v>
      </c>
      <c r="D95">
        <v>3202</v>
      </c>
      <c r="E95">
        <v>3361</v>
      </c>
      <c r="F95">
        <v>158</v>
      </c>
      <c r="G95">
        <v>4.9000000000000004</v>
      </c>
    </row>
    <row r="96" spans="1:7" x14ac:dyDescent="0.2">
      <c r="A96">
        <v>5</v>
      </c>
      <c r="B96">
        <v>5</v>
      </c>
      <c r="C96" t="s">
        <v>21</v>
      </c>
      <c r="D96">
        <v>2012</v>
      </c>
      <c r="E96">
        <v>2260</v>
      </c>
      <c r="F96">
        <v>248</v>
      </c>
      <c r="G96">
        <v>12.4</v>
      </c>
    </row>
    <row r="97" spans="1:9" x14ac:dyDescent="0.2">
      <c r="A97">
        <v>5</v>
      </c>
      <c r="B97">
        <v>6</v>
      </c>
      <c r="C97" t="s">
        <v>22</v>
      </c>
      <c r="D97">
        <v>1552</v>
      </c>
      <c r="E97">
        <v>1754</v>
      </c>
      <c r="F97">
        <v>203</v>
      </c>
      <c r="G97">
        <v>13</v>
      </c>
    </row>
    <row r="98" spans="1:9" x14ac:dyDescent="0.2">
      <c r="A98">
        <v>5</v>
      </c>
      <c r="B98">
        <v>7</v>
      </c>
      <c r="C98" t="s">
        <v>33</v>
      </c>
      <c r="D98">
        <v>3000</v>
      </c>
      <c r="E98">
        <v>3000</v>
      </c>
      <c r="F98">
        <v>0</v>
      </c>
      <c r="G98">
        <v>0</v>
      </c>
    </row>
    <row r="99" spans="1:9" x14ac:dyDescent="0.2">
      <c r="A99">
        <v>5</v>
      </c>
      <c r="B99">
        <v>8</v>
      </c>
      <c r="C99" t="s">
        <v>23</v>
      </c>
      <c r="D99">
        <v>25504</v>
      </c>
      <c r="E99">
        <v>25131</v>
      </c>
      <c r="F99">
        <v>-373</v>
      </c>
      <c r="G99">
        <v>-1.5</v>
      </c>
    </row>
    <row r="100" spans="1:9" x14ac:dyDescent="0.2">
      <c r="A100">
        <v>5</v>
      </c>
      <c r="B100">
        <v>9</v>
      </c>
      <c r="C100" t="s">
        <v>42</v>
      </c>
      <c r="D100">
        <v>14544</v>
      </c>
      <c r="E100">
        <v>15997</v>
      </c>
      <c r="F100">
        <v>1452</v>
      </c>
      <c r="G100">
        <v>10</v>
      </c>
    </row>
    <row r="101" spans="1:9" x14ac:dyDescent="0.2">
      <c r="A101">
        <v>5</v>
      </c>
      <c r="B101">
        <v>10</v>
      </c>
      <c r="C101" t="s">
        <v>24</v>
      </c>
      <c r="D101">
        <v>10247</v>
      </c>
      <c r="E101">
        <v>11322</v>
      </c>
      <c r="F101">
        <v>1075</v>
      </c>
      <c r="G101">
        <v>10.5</v>
      </c>
    </row>
    <row r="102" spans="1:9" x14ac:dyDescent="0.2">
      <c r="A102">
        <v>5</v>
      </c>
      <c r="B102">
        <v>11</v>
      </c>
      <c r="C102" t="s">
        <v>25</v>
      </c>
      <c r="D102">
        <v>4298</v>
      </c>
      <c r="E102">
        <v>4675</v>
      </c>
      <c r="F102">
        <v>378</v>
      </c>
      <c r="G102">
        <v>8.8000000000000007</v>
      </c>
    </row>
    <row r="103" spans="1:9" x14ac:dyDescent="0.2">
      <c r="A103">
        <v>5</v>
      </c>
      <c r="B103">
        <v>12</v>
      </c>
      <c r="C103" t="s">
        <v>26</v>
      </c>
      <c r="D103">
        <v>10960</v>
      </c>
      <c r="E103">
        <v>9134</v>
      </c>
      <c r="F103">
        <v>-1826</v>
      </c>
      <c r="G103">
        <v>-16.7</v>
      </c>
    </row>
    <row r="104" spans="1:9" x14ac:dyDescent="0.2">
      <c r="A104">
        <v>5</v>
      </c>
      <c r="B104">
        <v>13</v>
      </c>
      <c r="C104" t="s">
        <v>24</v>
      </c>
      <c r="D104">
        <v>9502</v>
      </c>
      <c r="E104">
        <v>7581</v>
      </c>
      <c r="F104">
        <v>-1920</v>
      </c>
      <c r="G104">
        <v>-20.2</v>
      </c>
    </row>
    <row r="105" spans="1:9" x14ac:dyDescent="0.2">
      <c r="A105">
        <v>5</v>
      </c>
      <c r="B105">
        <v>14</v>
      </c>
      <c r="C105" t="s">
        <v>25</v>
      </c>
      <c r="D105">
        <v>1458</v>
      </c>
      <c r="E105">
        <v>1553</v>
      </c>
      <c r="F105">
        <v>95</v>
      </c>
      <c r="G105">
        <v>6.5</v>
      </c>
    </row>
    <row r="106" spans="1:9" x14ac:dyDescent="0.2">
      <c r="A106">
        <v>5</v>
      </c>
      <c r="B106">
        <v>15</v>
      </c>
      <c r="C106" t="s">
        <v>27</v>
      </c>
      <c r="D106">
        <v>100079</v>
      </c>
      <c r="E106">
        <v>105253</v>
      </c>
      <c r="F106">
        <v>5174</v>
      </c>
      <c r="G106">
        <v>5.2</v>
      </c>
    </row>
    <row r="107" spans="1:9" x14ac:dyDescent="0.2">
      <c r="A107">
        <v>6</v>
      </c>
      <c r="B107">
        <v>1</v>
      </c>
      <c r="C107" t="s">
        <v>17</v>
      </c>
      <c r="D107">
        <v>70918</v>
      </c>
      <c r="E107">
        <v>75684</v>
      </c>
      <c r="F107">
        <v>81256</v>
      </c>
      <c r="G107">
        <v>78969</v>
      </c>
      <c r="H107">
        <v>78232</v>
      </c>
      <c r="I107">
        <v>81256</v>
      </c>
    </row>
    <row r="108" spans="1:9" x14ac:dyDescent="0.2">
      <c r="A108">
        <v>6</v>
      </c>
      <c r="B108">
        <v>2</v>
      </c>
      <c r="C108" t="s">
        <v>18</v>
      </c>
      <c r="D108">
        <v>33881</v>
      </c>
      <c r="E108">
        <v>36043</v>
      </c>
      <c r="F108">
        <v>39506</v>
      </c>
      <c r="G108">
        <v>37728</v>
      </c>
      <c r="H108">
        <v>37256</v>
      </c>
      <c r="I108">
        <v>39506</v>
      </c>
    </row>
    <row r="109" spans="1:9" x14ac:dyDescent="0.2">
      <c r="A109">
        <v>6</v>
      </c>
      <c r="B109">
        <v>3</v>
      </c>
      <c r="C109" t="s">
        <v>19</v>
      </c>
      <c r="D109">
        <v>7036</v>
      </c>
      <c r="E109">
        <v>6990</v>
      </c>
      <c r="F109">
        <v>7495</v>
      </c>
      <c r="G109">
        <v>7835</v>
      </c>
      <c r="H109">
        <v>7226</v>
      </c>
      <c r="I109">
        <v>7495</v>
      </c>
    </row>
    <row r="110" spans="1:9" x14ac:dyDescent="0.2">
      <c r="A110">
        <v>6</v>
      </c>
      <c r="B110">
        <v>4</v>
      </c>
      <c r="C110" t="s">
        <v>20</v>
      </c>
      <c r="D110">
        <v>5595</v>
      </c>
      <c r="E110">
        <v>5842</v>
      </c>
      <c r="F110">
        <v>6098</v>
      </c>
      <c r="G110">
        <v>6231</v>
      </c>
      <c r="H110">
        <v>6039</v>
      </c>
      <c r="I110">
        <v>6098</v>
      </c>
    </row>
    <row r="111" spans="1:9" x14ac:dyDescent="0.2">
      <c r="A111">
        <v>6</v>
      </c>
      <c r="B111">
        <v>5</v>
      </c>
      <c r="C111" t="s">
        <v>21</v>
      </c>
      <c r="D111">
        <v>2555</v>
      </c>
      <c r="E111">
        <v>2803</v>
      </c>
      <c r="F111">
        <v>3127</v>
      </c>
      <c r="G111">
        <v>2845</v>
      </c>
      <c r="H111">
        <v>2897</v>
      </c>
      <c r="I111">
        <v>3127</v>
      </c>
    </row>
    <row r="112" spans="1:9" x14ac:dyDescent="0.2">
      <c r="A112">
        <v>6</v>
      </c>
      <c r="B112">
        <v>6</v>
      </c>
      <c r="C112" t="s">
        <v>22</v>
      </c>
      <c r="D112">
        <v>2765</v>
      </c>
      <c r="E112">
        <v>2959</v>
      </c>
      <c r="F112">
        <v>3295</v>
      </c>
      <c r="G112">
        <v>3079</v>
      </c>
      <c r="H112">
        <v>3059</v>
      </c>
      <c r="I112">
        <v>3295</v>
      </c>
    </row>
    <row r="113" spans="1:9" x14ac:dyDescent="0.2">
      <c r="A113">
        <v>6</v>
      </c>
      <c r="B113">
        <v>7</v>
      </c>
      <c r="C113" t="s">
        <v>33</v>
      </c>
      <c r="D113">
        <v>6275</v>
      </c>
      <c r="E113">
        <v>6705</v>
      </c>
      <c r="F113">
        <v>6951</v>
      </c>
      <c r="G113">
        <v>6988</v>
      </c>
      <c r="H113">
        <v>6931</v>
      </c>
      <c r="I113">
        <v>6951</v>
      </c>
    </row>
    <row r="114" spans="1:9" x14ac:dyDescent="0.2">
      <c r="A114">
        <v>6</v>
      </c>
      <c r="B114">
        <v>8</v>
      </c>
      <c r="C114" t="s">
        <v>23</v>
      </c>
      <c r="D114">
        <v>38090</v>
      </c>
      <c r="E114">
        <v>43433</v>
      </c>
      <c r="F114">
        <v>44320</v>
      </c>
      <c r="G114">
        <v>42414</v>
      </c>
      <c r="H114">
        <v>44896</v>
      </c>
      <c r="I114">
        <v>44320</v>
      </c>
    </row>
    <row r="115" spans="1:9" x14ac:dyDescent="0.2">
      <c r="A115">
        <v>6</v>
      </c>
      <c r="B115">
        <v>9</v>
      </c>
      <c r="C115" t="s">
        <v>42</v>
      </c>
      <c r="D115">
        <v>24050</v>
      </c>
      <c r="E115">
        <v>26006</v>
      </c>
      <c r="F115">
        <v>28271</v>
      </c>
      <c r="G115">
        <v>26781</v>
      </c>
      <c r="H115">
        <v>26882</v>
      </c>
      <c r="I115">
        <v>28271</v>
      </c>
    </row>
    <row r="116" spans="1:9" x14ac:dyDescent="0.2">
      <c r="A116">
        <v>6</v>
      </c>
      <c r="B116">
        <v>10</v>
      </c>
      <c r="C116" t="s">
        <v>24</v>
      </c>
      <c r="D116">
        <v>17126</v>
      </c>
      <c r="E116">
        <v>18471</v>
      </c>
      <c r="F116">
        <v>20091</v>
      </c>
      <c r="G116">
        <v>19070</v>
      </c>
      <c r="H116">
        <v>19093</v>
      </c>
      <c r="I116">
        <v>20091</v>
      </c>
    </row>
    <row r="117" spans="1:9" x14ac:dyDescent="0.2">
      <c r="A117">
        <v>6</v>
      </c>
      <c r="B117">
        <v>11</v>
      </c>
      <c r="C117" t="s">
        <v>25</v>
      </c>
      <c r="D117">
        <v>6924</v>
      </c>
      <c r="E117">
        <v>7534</v>
      </c>
      <c r="F117">
        <v>8180</v>
      </c>
      <c r="G117">
        <v>7711</v>
      </c>
      <c r="H117">
        <v>7788</v>
      </c>
      <c r="I117">
        <v>8180</v>
      </c>
    </row>
    <row r="118" spans="1:9" x14ac:dyDescent="0.2">
      <c r="A118">
        <v>6</v>
      </c>
      <c r="B118">
        <v>12</v>
      </c>
      <c r="C118" t="s">
        <v>26</v>
      </c>
      <c r="D118">
        <v>14039</v>
      </c>
      <c r="E118">
        <v>17427</v>
      </c>
      <c r="F118">
        <v>16049</v>
      </c>
      <c r="G118">
        <v>15633</v>
      </c>
      <c r="H118">
        <v>18014</v>
      </c>
      <c r="I118">
        <v>16049</v>
      </c>
    </row>
    <row r="119" spans="1:9" x14ac:dyDescent="0.2">
      <c r="A119">
        <v>6</v>
      </c>
      <c r="B119">
        <v>13</v>
      </c>
      <c r="C119" t="s">
        <v>24</v>
      </c>
      <c r="D119">
        <v>11840</v>
      </c>
      <c r="E119">
        <v>15096</v>
      </c>
      <c r="F119">
        <v>13589</v>
      </c>
      <c r="G119">
        <v>13184</v>
      </c>
      <c r="H119">
        <v>15604</v>
      </c>
      <c r="I119">
        <v>13589</v>
      </c>
    </row>
    <row r="120" spans="1:9" x14ac:dyDescent="0.2">
      <c r="A120">
        <v>6</v>
      </c>
      <c r="B120">
        <v>14</v>
      </c>
      <c r="C120" t="s">
        <v>25</v>
      </c>
      <c r="D120">
        <v>2199</v>
      </c>
      <c r="E120">
        <v>2332</v>
      </c>
      <c r="F120">
        <v>2460</v>
      </c>
      <c r="G120">
        <v>2449</v>
      </c>
      <c r="H120">
        <v>2410</v>
      </c>
      <c r="I120">
        <v>2460</v>
      </c>
    </row>
    <row r="121" spans="1:9" x14ac:dyDescent="0.2">
      <c r="A121">
        <v>6</v>
      </c>
      <c r="B121">
        <v>15</v>
      </c>
      <c r="C121" t="s">
        <v>27</v>
      </c>
      <c r="D121">
        <v>167116</v>
      </c>
      <c r="E121">
        <v>180459</v>
      </c>
      <c r="F121">
        <v>192047</v>
      </c>
      <c r="G121">
        <v>186088</v>
      </c>
      <c r="H121">
        <v>186535</v>
      </c>
      <c r="I121">
        <v>192047</v>
      </c>
    </row>
    <row r="122" spans="1:9" x14ac:dyDescent="0.2">
      <c r="A122" t="s">
        <v>110</v>
      </c>
      <c r="B122">
        <v>1</v>
      </c>
      <c r="C122" t="s">
        <v>17</v>
      </c>
      <c r="D122">
        <v>70980</v>
      </c>
      <c r="E122">
        <v>75874</v>
      </c>
      <c r="F122">
        <v>81429</v>
      </c>
      <c r="G122">
        <v>79039</v>
      </c>
      <c r="H122">
        <v>78429</v>
      </c>
      <c r="I122">
        <v>81429</v>
      </c>
    </row>
    <row r="123" spans="1:9" x14ac:dyDescent="0.2">
      <c r="A123" t="s">
        <v>110</v>
      </c>
      <c r="B123">
        <v>2</v>
      </c>
      <c r="C123" t="s">
        <v>18</v>
      </c>
      <c r="D123">
        <v>34043</v>
      </c>
      <c r="E123">
        <v>36316</v>
      </c>
      <c r="F123">
        <v>39827</v>
      </c>
      <c r="G123">
        <v>37908</v>
      </c>
      <c r="H123">
        <v>37539</v>
      </c>
      <c r="I123">
        <v>39827</v>
      </c>
    </row>
    <row r="124" spans="1:9" x14ac:dyDescent="0.2">
      <c r="A124" t="s">
        <v>110</v>
      </c>
      <c r="B124">
        <v>3</v>
      </c>
      <c r="C124" t="s">
        <v>19</v>
      </c>
      <c r="D124">
        <v>7237</v>
      </c>
      <c r="E124">
        <v>7234</v>
      </c>
      <c r="F124">
        <v>7620</v>
      </c>
      <c r="G124">
        <v>8058</v>
      </c>
      <c r="H124">
        <v>7478</v>
      </c>
      <c r="I124">
        <v>7620</v>
      </c>
    </row>
    <row r="125" spans="1:9" x14ac:dyDescent="0.2">
      <c r="A125" t="s">
        <v>110</v>
      </c>
      <c r="B125">
        <v>4</v>
      </c>
      <c r="C125" t="s">
        <v>20</v>
      </c>
      <c r="D125">
        <v>5709</v>
      </c>
      <c r="E125">
        <v>5986</v>
      </c>
      <c r="F125">
        <v>6181</v>
      </c>
      <c r="G125">
        <v>6357</v>
      </c>
      <c r="H125">
        <v>6188</v>
      </c>
      <c r="I125">
        <v>6181</v>
      </c>
    </row>
    <row r="126" spans="1:9" x14ac:dyDescent="0.2">
      <c r="A126" t="s">
        <v>110</v>
      </c>
      <c r="B126">
        <v>5</v>
      </c>
      <c r="C126" t="s">
        <v>21</v>
      </c>
      <c r="D126">
        <v>2569</v>
      </c>
      <c r="E126">
        <v>2808</v>
      </c>
      <c r="F126">
        <v>3130</v>
      </c>
      <c r="G126">
        <v>2861</v>
      </c>
      <c r="H126">
        <v>2903</v>
      </c>
      <c r="I126">
        <v>3130</v>
      </c>
    </row>
    <row r="127" spans="1:9" x14ac:dyDescent="0.2">
      <c r="A127" t="s">
        <v>110</v>
      </c>
      <c r="B127">
        <v>6</v>
      </c>
      <c r="C127" t="s">
        <v>22</v>
      </c>
      <c r="D127">
        <v>2780</v>
      </c>
      <c r="E127">
        <v>2985</v>
      </c>
      <c r="F127">
        <v>3315</v>
      </c>
      <c r="G127">
        <v>3095</v>
      </c>
      <c r="H127">
        <v>3085</v>
      </c>
      <c r="I127">
        <v>3315</v>
      </c>
    </row>
    <row r="128" spans="1:9" x14ac:dyDescent="0.2">
      <c r="A128" t="s">
        <v>110</v>
      </c>
      <c r="B128">
        <v>7</v>
      </c>
      <c r="C128" t="s">
        <v>33</v>
      </c>
      <c r="D128">
        <v>6307</v>
      </c>
      <c r="E128">
        <v>6751</v>
      </c>
      <c r="F128">
        <v>6973</v>
      </c>
      <c r="G128">
        <v>7023</v>
      </c>
      <c r="H128">
        <v>6978</v>
      </c>
      <c r="I128">
        <v>6973</v>
      </c>
    </row>
    <row r="129" spans="1:9" x14ac:dyDescent="0.2">
      <c r="A129" t="s">
        <v>110</v>
      </c>
      <c r="B129">
        <v>8</v>
      </c>
      <c r="C129" t="s">
        <v>23</v>
      </c>
      <c r="D129">
        <v>38254</v>
      </c>
      <c r="E129">
        <v>43645</v>
      </c>
      <c r="F129">
        <v>44561</v>
      </c>
      <c r="G129">
        <v>42597</v>
      </c>
      <c r="H129">
        <v>45115</v>
      </c>
      <c r="I129">
        <v>44561</v>
      </c>
    </row>
    <row r="130" spans="1:9" x14ac:dyDescent="0.2">
      <c r="A130" t="s">
        <v>110</v>
      </c>
      <c r="B130">
        <v>9</v>
      </c>
      <c r="C130" t="s">
        <v>42</v>
      </c>
      <c r="D130">
        <v>24169</v>
      </c>
      <c r="E130">
        <v>26138</v>
      </c>
      <c r="F130">
        <v>28395</v>
      </c>
      <c r="G130">
        <v>26913</v>
      </c>
      <c r="H130">
        <v>27018</v>
      </c>
      <c r="I130">
        <v>28395</v>
      </c>
    </row>
    <row r="131" spans="1:9" x14ac:dyDescent="0.2">
      <c r="A131" t="s">
        <v>110</v>
      </c>
      <c r="B131">
        <v>10</v>
      </c>
      <c r="C131" t="s">
        <v>24</v>
      </c>
      <c r="D131">
        <v>17212</v>
      </c>
      <c r="E131">
        <v>18565</v>
      </c>
      <c r="F131">
        <v>20176</v>
      </c>
      <c r="G131">
        <v>19166</v>
      </c>
      <c r="H131">
        <v>19190</v>
      </c>
      <c r="I131">
        <v>20176</v>
      </c>
    </row>
    <row r="132" spans="1:9" x14ac:dyDescent="0.2">
      <c r="A132" t="s">
        <v>110</v>
      </c>
      <c r="B132">
        <v>11</v>
      </c>
      <c r="C132" t="s">
        <v>25</v>
      </c>
      <c r="D132">
        <v>6958</v>
      </c>
      <c r="E132">
        <v>7572</v>
      </c>
      <c r="F132">
        <v>8219</v>
      </c>
      <c r="G132">
        <v>7747</v>
      </c>
      <c r="H132">
        <v>7827</v>
      </c>
      <c r="I132">
        <v>8219</v>
      </c>
    </row>
    <row r="133" spans="1:9" x14ac:dyDescent="0.2">
      <c r="A133" t="s">
        <v>110</v>
      </c>
      <c r="B133">
        <v>12</v>
      </c>
      <c r="C133" t="s">
        <v>26</v>
      </c>
      <c r="D133">
        <v>14084</v>
      </c>
      <c r="E133">
        <v>17507</v>
      </c>
      <c r="F133">
        <v>16165</v>
      </c>
      <c r="G133">
        <v>15683</v>
      </c>
      <c r="H133">
        <v>18097</v>
      </c>
      <c r="I133">
        <v>16165</v>
      </c>
    </row>
    <row r="134" spans="1:9" x14ac:dyDescent="0.2">
      <c r="A134" t="s">
        <v>110</v>
      </c>
      <c r="B134">
        <v>13</v>
      </c>
      <c r="C134" t="s">
        <v>24</v>
      </c>
      <c r="D134">
        <v>11877</v>
      </c>
      <c r="E134">
        <v>15160</v>
      </c>
      <c r="F134">
        <v>13687</v>
      </c>
      <c r="G134">
        <v>13225</v>
      </c>
      <c r="H134">
        <v>15670</v>
      </c>
      <c r="I134">
        <v>13687</v>
      </c>
    </row>
    <row r="135" spans="1:9" x14ac:dyDescent="0.2">
      <c r="A135" t="s">
        <v>110</v>
      </c>
      <c r="B135">
        <v>14</v>
      </c>
      <c r="C135" t="s">
        <v>25</v>
      </c>
      <c r="D135">
        <v>2207</v>
      </c>
      <c r="E135">
        <v>2347</v>
      </c>
      <c r="F135">
        <v>2478</v>
      </c>
      <c r="G135">
        <v>2458</v>
      </c>
      <c r="H135">
        <v>2427</v>
      </c>
      <c r="I135">
        <v>2478</v>
      </c>
    </row>
    <row r="136" spans="1:9" x14ac:dyDescent="0.2">
      <c r="A136" t="s">
        <v>110</v>
      </c>
      <c r="B136">
        <v>15</v>
      </c>
      <c r="C136" t="s">
        <v>27</v>
      </c>
      <c r="D136">
        <v>167880</v>
      </c>
      <c r="E136">
        <v>181599</v>
      </c>
      <c r="F136">
        <v>193035</v>
      </c>
      <c r="G136">
        <v>186939</v>
      </c>
      <c r="H136">
        <v>187714</v>
      </c>
      <c r="I136">
        <v>193035</v>
      </c>
    </row>
    <row r="137" spans="1:9" x14ac:dyDescent="0.2">
      <c r="A137">
        <v>7</v>
      </c>
      <c r="B137">
        <v>1</v>
      </c>
      <c r="C137" t="s">
        <v>17</v>
      </c>
      <c r="D137">
        <v>27431</v>
      </c>
      <c r="E137">
        <v>29336</v>
      </c>
      <c r="F137">
        <v>31191</v>
      </c>
      <c r="G137">
        <v>30545</v>
      </c>
      <c r="H137">
        <v>30324</v>
      </c>
      <c r="I137">
        <v>31191</v>
      </c>
    </row>
    <row r="138" spans="1:9" x14ac:dyDescent="0.2">
      <c r="A138">
        <v>7</v>
      </c>
      <c r="B138">
        <v>2</v>
      </c>
      <c r="C138" t="s">
        <v>18</v>
      </c>
      <c r="D138">
        <v>17211</v>
      </c>
      <c r="E138">
        <v>18405</v>
      </c>
      <c r="F138">
        <v>20546</v>
      </c>
      <c r="G138">
        <v>19165</v>
      </c>
      <c r="H138">
        <v>19025</v>
      </c>
      <c r="I138">
        <v>20546</v>
      </c>
    </row>
    <row r="139" spans="1:9" x14ac:dyDescent="0.2">
      <c r="A139">
        <v>7</v>
      </c>
      <c r="B139">
        <v>3</v>
      </c>
      <c r="C139" t="s">
        <v>19</v>
      </c>
      <c r="D139">
        <v>6078</v>
      </c>
      <c r="E139">
        <v>6166</v>
      </c>
      <c r="F139">
        <v>6773</v>
      </c>
      <c r="G139">
        <v>6768</v>
      </c>
      <c r="H139">
        <v>6374</v>
      </c>
      <c r="I139">
        <v>6773</v>
      </c>
    </row>
    <row r="140" spans="1:9" x14ac:dyDescent="0.2">
      <c r="A140">
        <v>7</v>
      </c>
      <c r="B140">
        <v>4</v>
      </c>
      <c r="C140" t="s">
        <v>20</v>
      </c>
      <c r="D140">
        <v>2562</v>
      </c>
      <c r="E140">
        <v>2639</v>
      </c>
      <c r="F140">
        <v>2737</v>
      </c>
      <c r="G140">
        <v>2852</v>
      </c>
      <c r="H140">
        <v>2728</v>
      </c>
      <c r="I140">
        <v>2737</v>
      </c>
    </row>
    <row r="141" spans="1:9" x14ac:dyDescent="0.2">
      <c r="A141">
        <v>7</v>
      </c>
      <c r="B141">
        <v>5</v>
      </c>
      <c r="C141" t="s">
        <v>21</v>
      </c>
      <c r="D141">
        <v>706</v>
      </c>
      <c r="E141">
        <v>791</v>
      </c>
      <c r="F141">
        <v>867</v>
      </c>
      <c r="G141">
        <v>786</v>
      </c>
      <c r="H141">
        <v>817</v>
      </c>
      <c r="I141">
        <v>867</v>
      </c>
    </row>
    <row r="142" spans="1:9" x14ac:dyDescent="0.2">
      <c r="A142">
        <v>7</v>
      </c>
      <c r="B142">
        <v>6</v>
      </c>
      <c r="C142" t="s">
        <v>22</v>
      </c>
      <c r="D142">
        <v>1252</v>
      </c>
      <c r="E142">
        <v>1407</v>
      </c>
      <c r="F142">
        <v>1541</v>
      </c>
      <c r="G142">
        <v>1394</v>
      </c>
      <c r="H142">
        <v>1455</v>
      </c>
      <c r="I142">
        <v>1541</v>
      </c>
    </row>
    <row r="143" spans="1:9" x14ac:dyDescent="0.2">
      <c r="A143">
        <v>7</v>
      </c>
      <c r="B143">
        <v>7</v>
      </c>
      <c r="C143" t="s">
        <v>33</v>
      </c>
      <c r="D143">
        <v>3593</v>
      </c>
      <c r="E143">
        <v>3706</v>
      </c>
      <c r="F143">
        <v>3950</v>
      </c>
      <c r="G143">
        <v>4000</v>
      </c>
      <c r="H143">
        <v>3830</v>
      </c>
      <c r="I143">
        <v>3950</v>
      </c>
    </row>
    <row r="144" spans="1:9" x14ac:dyDescent="0.2">
      <c r="A144">
        <v>7</v>
      </c>
      <c r="B144">
        <v>8</v>
      </c>
      <c r="C144" t="s">
        <v>23</v>
      </c>
      <c r="D144">
        <v>16710</v>
      </c>
      <c r="E144">
        <v>17929</v>
      </c>
      <c r="F144">
        <v>19189</v>
      </c>
      <c r="G144">
        <v>18608</v>
      </c>
      <c r="H144">
        <v>18533</v>
      </c>
      <c r="I144">
        <v>19189</v>
      </c>
    </row>
    <row r="145" spans="1:9" x14ac:dyDescent="0.2">
      <c r="A145">
        <v>7</v>
      </c>
      <c r="B145">
        <v>9</v>
      </c>
      <c r="C145" t="s">
        <v>42</v>
      </c>
      <c r="D145">
        <v>10649</v>
      </c>
      <c r="E145">
        <v>11462</v>
      </c>
      <c r="F145">
        <v>12274</v>
      </c>
      <c r="G145">
        <v>11858</v>
      </c>
      <c r="H145">
        <v>11847</v>
      </c>
      <c r="I145">
        <v>12274</v>
      </c>
    </row>
    <row r="146" spans="1:9" x14ac:dyDescent="0.2">
      <c r="A146">
        <v>7</v>
      </c>
      <c r="B146">
        <v>10</v>
      </c>
      <c r="C146" t="s">
        <v>24</v>
      </c>
      <c r="D146">
        <v>7655</v>
      </c>
      <c r="E146">
        <v>8225</v>
      </c>
      <c r="F146">
        <v>8769</v>
      </c>
      <c r="G146">
        <v>8524</v>
      </c>
      <c r="H146">
        <v>8502</v>
      </c>
      <c r="I146">
        <v>8769</v>
      </c>
    </row>
    <row r="147" spans="1:9" x14ac:dyDescent="0.2">
      <c r="A147">
        <v>7</v>
      </c>
      <c r="B147">
        <v>11</v>
      </c>
      <c r="C147" t="s">
        <v>25</v>
      </c>
      <c r="D147">
        <v>2994</v>
      </c>
      <c r="E147">
        <v>3237</v>
      </c>
      <c r="F147">
        <v>3505</v>
      </c>
      <c r="G147">
        <v>3334</v>
      </c>
      <c r="H147">
        <v>3346</v>
      </c>
      <c r="I147">
        <v>3505</v>
      </c>
    </row>
    <row r="148" spans="1:9" x14ac:dyDescent="0.2">
      <c r="A148">
        <v>7</v>
      </c>
      <c r="B148">
        <v>12</v>
      </c>
      <c r="C148" t="s">
        <v>26</v>
      </c>
      <c r="D148">
        <v>6061</v>
      </c>
      <c r="E148">
        <v>6468</v>
      </c>
      <c r="F148">
        <v>6915</v>
      </c>
      <c r="G148">
        <v>6750</v>
      </c>
      <c r="H148">
        <v>6685</v>
      </c>
      <c r="I148">
        <v>6915</v>
      </c>
    </row>
    <row r="149" spans="1:9" x14ac:dyDescent="0.2">
      <c r="A149">
        <v>7</v>
      </c>
      <c r="B149">
        <v>13</v>
      </c>
      <c r="C149" t="s">
        <v>24</v>
      </c>
      <c r="D149">
        <v>5271</v>
      </c>
      <c r="E149">
        <v>5594</v>
      </c>
      <c r="F149">
        <v>6008</v>
      </c>
      <c r="G149">
        <v>5869</v>
      </c>
      <c r="H149">
        <v>5782</v>
      </c>
      <c r="I149">
        <v>6008</v>
      </c>
    </row>
    <row r="150" spans="1:9" x14ac:dyDescent="0.2">
      <c r="A150">
        <v>7</v>
      </c>
      <c r="B150">
        <v>14</v>
      </c>
      <c r="C150" t="s">
        <v>25</v>
      </c>
      <c r="D150">
        <v>791</v>
      </c>
      <c r="E150">
        <v>873</v>
      </c>
      <c r="F150">
        <v>907</v>
      </c>
      <c r="G150">
        <v>881</v>
      </c>
      <c r="H150">
        <v>903</v>
      </c>
      <c r="I150">
        <v>907</v>
      </c>
    </row>
    <row r="151" spans="1:9" x14ac:dyDescent="0.2">
      <c r="A151">
        <v>7</v>
      </c>
      <c r="B151">
        <v>15</v>
      </c>
      <c r="C151" t="s">
        <v>27</v>
      </c>
      <c r="D151">
        <v>75543</v>
      </c>
      <c r="E151">
        <v>80380</v>
      </c>
      <c r="F151">
        <v>86794</v>
      </c>
      <c r="G151">
        <v>84119</v>
      </c>
      <c r="H151">
        <v>83086</v>
      </c>
      <c r="I151">
        <v>86794</v>
      </c>
    </row>
    <row r="152" spans="1:9" x14ac:dyDescent="0.2">
      <c r="A152">
        <v>8</v>
      </c>
      <c r="B152">
        <v>1</v>
      </c>
      <c r="C152" t="s">
        <v>17</v>
      </c>
      <c r="D152">
        <v>43487</v>
      </c>
      <c r="E152">
        <v>46347</v>
      </c>
      <c r="F152">
        <v>50065</v>
      </c>
      <c r="G152">
        <v>48424</v>
      </c>
      <c r="H152">
        <v>47908</v>
      </c>
      <c r="I152">
        <v>50065</v>
      </c>
    </row>
    <row r="153" spans="1:9" x14ac:dyDescent="0.2">
      <c r="A153">
        <v>8</v>
      </c>
      <c r="B153">
        <v>2</v>
      </c>
      <c r="C153" t="s">
        <v>18</v>
      </c>
      <c r="D153">
        <v>16671</v>
      </c>
      <c r="E153">
        <v>17638</v>
      </c>
      <c r="F153">
        <v>18960</v>
      </c>
      <c r="G153">
        <v>18563</v>
      </c>
      <c r="H153">
        <v>18231</v>
      </c>
      <c r="I153">
        <v>18960</v>
      </c>
    </row>
    <row r="154" spans="1:9" x14ac:dyDescent="0.2">
      <c r="A154">
        <v>8</v>
      </c>
      <c r="B154">
        <v>3</v>
      </c>
      <c r="C154" t="s">
        <v>19</v>
      </c>
      <c r="D154">
        <v>958</v>
      </c>
      <c r="E154">
        <v>824</v>
      </c>
      <c r="F154">
        <v>722</v>
      </c>
      <c r="G154">
        <v>1066</v>
      </c>
      <c r="H154">
        <v>852</v>
      </c>
      <c r="I154">
        <v>722</v>
      </c>
    </row>
    <row r="155" spans="1:9" x14ac:dyDescent="0.2">
      <c r="A155">
        <v>8</v>
      </c>
      <c r="B155">
        <v>4</v>
      </c>
      <c r="C155" t="s">
        <v>20</v>
      </c>
      <c r="D155">
        <v>3034</v>
      </c>
      <c r="E155">
        <v>3202</v>
      </c>
      <c r="F155">
        <v>3361</v>
      </c>
      <c r="G155">
        <v>3378</v>
      </c>
      <c r="H155">
        <v>3310</v>
      </c>
      <c r="I155">
        <v>3361</v>
      </c>
    </row>
    <row r="156" spans="1:9" x14ac:dyDescent="0.2">
      <c r="A156">
        <v>8</v>
      </c>
      <c r="B156">
        <v>5</v>
      </c>
      <c r="C156" t="s">
        <v>21</v>
      </c>
      <c r="D156">
        <v>1849</v>
      </c>
      <c r="E156">
        <v>2012</v>
      </c>
      <c r="F156">
        <v>2260</v>
      </c>
      <c r="G156">
        <v>2059</v>
      </c>
      <c r="H156">
        <v>2080</v>
      </c>
      <c r="I156">
        <v>2260</v>
      </c>
    </row>
    <row r="157" spans="1:9" x14ac:dyDescent="0.2">
      <c r="A157">
        <v>8</v>
      </c>
      <c r="B157">
        <v>6</v>
      </c>
      <c r="C157" t="s">
        <v>22</v>
      </c>
      <c r="D157">
        <v>1513</v>
      </c>
      <c r="E157">
        <v>1552</v>
      </c>
      <c r="F157">
        <v>1754</v>
      </c>
      <c r="G157">
        <v>1685</v>
      </c>
      <c r="H157">
        <v>1604</v>
      </c>
      <c r="I157">
        <v>1754</v>
      </c>
    </row>
    <row r="158" spans="1:9" x14ac:dyDescent="0.2">
      <c r="A158">
        <v>8</v>
      </c>
      <c r="B158">
        <v>7</v>
      </c>
      <c r="C158" t="s">
        <v>33</v>
      </c>
      <c r="D158">
        <v>2683</v>
      </c>
      <c r="E158">
        <v>3000</v>
      </c>
      <c r="F158">
        <v>3000</v>
      </c>
      <c r="G158">
        <v>2988</v>
      </c>
      <c r="H158">
        <v>3101</v>
      </c>
      <c r="I158">
        <v>3000</v>
      </c>
    </row>
    <row r="159" spans="1:9" x14ac:dyDescent="0.2">
      <c r="A159">
        <v>8</v>
      </c>
      <c r="B159">
        <v>8</v>
      </c>
      <c r="C159" t="s">
        <v>23</v>
      </c>
      <c r="D159">
        <v>21379</v>
      </c>
      <c r="E159">
        <v>25504</v>
      </c>
      <c r="F159">
        <v>25131</v>
      </c>
      <c r="G159">
        <v>23806</v>
      </c>
      <c r="H159">
        <v>26363</v>
      </c>
      <c r="I159">
        <v>25131</v>
      </c>
    </row>
    <row r="160" spans="1:9" x14ac:dyDescent="0.2">
      <c r="A160">
        <v>8</v>
      </c>
      <c r="B160">
        <v>9</v>
      </c>
      <c r="C160" t="s">
        <v>42</v>
      </c>
      <c r="D160">
        <v>13401</v>
      </c>
      <c r="E160">
        <v>14544</v>
      </c>
      <c r="F160">
        <v>15997</v>
      </c>
      <c r="G160">
        <v>14923</v>
      </c>
      <c r="H160">
        <v>15034</v>
      </c>
      <c r="I160">
        <v>15997</v>
      </c>
    </row>
    <row r="161" spans="1:9" x14ac:dyDescent="0.2">
      <c r="A161">
        <v>8</v>
      </c>
      <c r="B161">
        <v>10</v>
      </c>
      <c r="C161" t="s">
        <v>24</v>
      </c>
      <c r="D161">
        <v>9471</v>
      </c>
      <c r="E161">
        <v>10247</v>
      </c>
      <c r="F161">
        <v>11322</v>
      </c>
      <c r="G161">
        <v>10546</v>
      </c>
      <c r="H161">
        <v>10592</v>
      </c>
      <c r="I161">
        <v>11322</v>
      </c>
    </row>
    <row r="162" spans="1:9" x14ac:dyDescent="0.2">
      <c r="A162">
        <v>8</v>
      </c>
      <c r="B162">
        <v>11</v>
      </c>
      <c r="C162" t="s">
        <v>25</v>
      </c>
      <c r="D162">
        <v>3931</v>
      </c>
      <c r="E162">
        <v>4298</v>
      </c>
      <c r="F162">
        <v>4675</v>
      </c>
      <c r="G162">
        <v>4377</v>
      </c>
      <c r="H162">
        <v>4442</v>
      </c>
      <c r="I162">
        <v>4675</v>
      </c>
    </row>
    <row r="163" spans="1:9" x14ac:dyDescent="0.2">
      <c r="A163">
        <v>8</v>
      </c>
      <c r="B163">
        <v>12</v>
      </c>
      <c r="C163" t="s">
        <v>26</v>
      </c>
      <c r="D163">
        <v>7978</v>
      </c>
      <c r="E163">
        <v>10960</v>
      </c>
      <c r="F163">
        <v>9134</v>
      </c>
      <c r="G163">
        <v>8884</v>
      </c>
      <c r="H163">
        <v>11329</v>
      </c>
      <c r="I163">
        <v>9134</v>
      </c>
    </row>
    <row r="164" spans="1:9" x14ac:dyDescent="0.2">
      <c r="A164">
        <v>8</v>
      </c>
      <c r="B164">
        <v>13</v>
      </c>
      <c r="C164" t="s">
        <v>24</v>
      </c>
      <c r="D164">
        <v>6569</v>
      </c>
      <c r="E164">
        <v>9502</v>
      </c>
      <c r="F164">
        <v>7581</v>
      </c>
      <c r="G164">
        <v>7315</v>
      </c>
      <c r="H164">
        <v>9822</v>
      </c>
      <c r="I164">
        <v>7581</v>
      </c>
    </row>
    <row r="165" spans="1:9" x14ac:dyDescent="0.2">
      <c r="A165">
        <v>8</v>
      </c>
      <c r="B165">
        <v>14</v>
      </c>
      <c r="C165" t="s">
        <v>25</v>
      </c>
      <c r="D165">
        <v>1409</v>
      </c>
      <c r="E165">
        <v>1458</v>
      </c>
      <c r="F165">
        <v>1553</v>
      </c>
      <c r="G165">
        <v>1568</v>
      </c>
      <c r="H165">
        <v>1507</v>
      </c>
      <c r="I165">
        <v>1553</v>
      </c>
    </row>
    <row r="166" spans="1:9" x14ac:dyDescent="0.2">
      <c r="A166">
        <v>8</v>
      </c>
      <c r="B166">
        <v>15</v>
      </c>
      <c r="C166" t="s">
        <v>27</v>
      </c>
      <c r="D166">
        <v>91573</v>
      </c>
      <c r="E166">
        <v>100079</v>
      </c>
      <c r="F166">
        <v>105253</v>
      </c>
      <c r="G166">
        <v>101969</v>
      </c>
      <c r="H166">
        <v>103449</v>
      </c>
      <c r="I166">
        <v>105253</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C1EFC-E89B-4D96-801F-961AFC990290}">
  <sheetPr codeName="Sheet11">
    <tabColor rgb="FF7030A0"/>
  </sheetPr>
  <dimension ref="A1:E57"/>
  <sheetViews>
    <sheetView topLeftCell="A24" workbookViewId="0"/>
  </sheetViews>
  <sheetFormatPr defaultRowHeight="12.75" x14ac:dyDescent="0.2"/>
  <cols>
    <col min="2" max="2" width="12.28515625" customWidth="1"/>
    <col min="3" max="3" width="10.28515625" style="62" bestFit="1" customWidth="1"/>
  </cols>
  <sheetData>
    <row r="1" spans="1:5" ht="15" x14ac:dyDescent="0.25">
      <c r="A1" s="83" t="s">
        <v>43</v>
      </c>
      <c r="B1" s="83" t="s">
        <v>45</v>
      </c>
      <c r="C1" s="61" t="s">
        <v>44</v>
      </c>
      <c r="E1" s="84" t="s">
        <v>129</v>
      </c>
    </row>
    <row r="2" spans="1:5" x14ac:dyDescent="0.2">
      <c r="A2">
        <v>1</v>
      </c>
      <c r="B2" t="s">
        <v>50</v>
      </c>
      <c r="C2" s="62" t="s">
        <v>164</v>
      </c>
    </row>
    <row r="3" spans="1:5" x14ac:dyDescent="0.2">
      <c r="A3">
        <v>1</v>
      </c>
      <c r="B3" t="s">
        <v>51</v>
      </c>
      <c r="C3" s="62" t="s">
        <v>165</v>
      </c>
    </row>
    <row r="4" spans="1:5" x14ac:dyDescent="0.2">
      <c r="A4">
        <v>1</v>
      </c>
      <c r="B4" t="s">
        <v>52</v>
      </c>
      <c r="C4" s="62" t="s">
        <v>166</v>
      </c>
    </row>
    <row r="5" spans="1:5" x14ac:dyDescent="0.2">
      <c r="A5">
        <v>1</v>
      </c>
      <c r="B5" t="s">
        <v>53</v>
      </c>
      <c r="C5" s="62" t="s">
        <v>167</v>
      </c>
      <c r="E5" t="str">
        <f>C5&amp;" U.S. MD-granting medical education programs with full LCME accreditation"</f>
        <v>150 U.S. MD-granting medical education programs with full LCME accreditation</v>
      </c>
    </row>
    <row r="6" spans="1:5" x14ac:dyDescent="0.2">
      <c r="A6">
        <v>1</v>
      </c>
      <c r="B6" t="s">
        <v>54</v>
      </c>
      <c r="C6" s="62" t="s">
        <v>168</v>
      </c>
    </row>
    <row r="7" spans="1:5" x14ac:dyDescent="0.2">
      <c r="A7" t="s">
        <v>41</v>
      </c>
      <c r="B7" t="s">
        <v>55</v>
      </c>
      <c r="C7" s="62" t="s">
        <v>169</v>
      </c>
    </row>
    <row r="8" spans="1:5" x14ac:dyDescent="0.2">
      <c r="A8" t="s">
        <v>41</v>
      </c>
      <c r="B8" t="s">
        <v>56</v>
      </c>
      <c r="C8" s="62" t="s">
        <v>170</v>
      </c>
    </row>
    <row r="9" spans="1:5" x14ac:dyDescent="0.2">
      <c r="A9" t="s">
        <v>41</v>
      </c>
      <c r="B9" t="s">
        <v>57</v>
      </c>
      <c r="C9" s="62" t="s">
        <v>171</v>
      </c>
    </row>
    <row r="10" spans="1:5" x14ac:dyDescent="0.2">
      <c r="A10" t="s">
        <v>41</v>
      </c>
      <c r="B10" t="s">
        <v>58</v>
      </c>
      <c r="C10" s="62" t="s">
        <v>172</v>
      </c>
      <c r="E10" t="str">
        <f>C10&amp;" U.S. MD-granting medical education programs with preliminary, provisional, or full LCME accreditation"</f>
        <v>157 U.S. MD-granting medical education programs with preliminary, provisional, or full LCME accreditation</v>
      </c>
    </row>
    <row r="11" spans="1:5" x14ac:dyDescent="0.2">
      <c r="A11" t="s">
        <v>41</v>
      </c>
      <c r="B11" t="s">
        <v>59</v>
      </c>
      <c r="C11" s="62" t="s">
        <v>173</v>
      </c>
    </row>
    <row r="12" spans="1:5" x14ac:dyDescent="0.2">
      <c r="A12">
        <v>2</v>
      </c>
      <c r="B12" t="s">
        <v>60</v>
      </c>
      <c r="C12" s="62" t="s">
        <v>174</v>
      </c>
    </row>
    <row r="13" spans="1:5" x14ac:dyDescent="0.2">
      <c r="A13">
        <v>2</v>
      </c>
      <c r="B13" t="s">
        <v>61</v>
      </c>
      <c r="C13" s="62" t="s">
        <v>175</v>
      </c>
    </row>
    <row r="14" spans="1:5" x14ac:dyDescent="0.2">
      <c r="A14">
        <v>2</v>
      </c>
      <c r="B14" t="s">
        <v>62</v>
      </c>
      <c r="C14" s="62" t="s">
        <v>176</v>
      </c>
      <c r="E14" t="str">
        <f>C14&amp;" U.S. MD-granting public medical education programs with full LCME accreditation"</f>
        <v>91 U.S. MD-granting public medical education programs with full LCME accreditation</v>
      </c>
    </row>
    <row r="15" spans="1:5" x14ac:dyDescent="0.2">
      <c r="A15">
        <v>2</v>
      </c>
      <c r="B15" t="s">
        <v>63</v>
      </c>
      <c r="C15" s="62" t="s">
        <v>177</v>
      </c>
      <c r="E15" t="str">
        <f>C15&amp;" U.S. MD-granting private medical education programs with full LCME accreditation"</f>
        <v>59 U.S. MD-granting private medical education programs with full LCME accreditation</v>
      </c>
    </row>
    <row r="16" spans="1:5" x14ac:dyDescent="0.2">
      <c r="A16">
        <v>2</v>
      </c>
      <c r="B16" t="s">
        <v>65</v>
      </c>
      <c r="C16" s="62" t="s">
        <v>167</v>
      </c>
    </row>
    <row r="17" spans="1:3" x14ac:dyDescent="0.2">
      <c r="A17">
        <v>3</v>
      </c>
      <c r="B17" t="s">
        <v>66</v>
      </c>
      <c r="C17" s="62" t="s">
        <v>166</v>
      </c>
    </row>
    <row r="18" spans="1:3" x14ac:dyDescent="0.2">
      <c r="A18">
        <v>3</v>
      </c>
      <c r="B18" t="s">
        <v>67</v>
      </c>
      <c r="C18" s="62" t="s">
        <v>178</v>
      </c>
    </row>
    <row r="19" spans="1:3" x14ac:dyDescent="0.2">
      <c r="A19">
        <v>3</v>
      </c>
      <c r="B19" t="s">
        <v>68</v>
      </c>
      <c r="C19" s="62" t="s">
        <v>167</v>
      </c>
    </row>
    <row r="20" spans="1:3" x14ac:dyDescent="0.2">
      <c r="A20" t="s">
        <v>106</v>
      </c>
      <c r="B20" t="s">
        <v>107</v>
      </c>
      <c r="C20" s="62" t="s">
        <v>171</v>
      </c>
    </row>
    <row r="21" spans="1:3" x14ac:dyDescent="0.2">
      <c r="A21" t="s">
        <v>106</v>
      </c>
      <c r="B21" t="s">
        <v>108</v>
      </c>
      <c r="C21" s="62" t="s">
        <v>179</v>
      </c>
    </row>
    <row r="22" spans="1:3" x14ac:dyDescent="0.2">
      <c r="A22" t="s">
        <v>106</v>
      </c>
      <c r="B22" t="s">
        <v>109</v>
      </c>
      <c r="C22" s="62" t="s">
        <v>172</v>
      </c>
    </row>
    <row r="23" spans="1:3" x14ac:dyDescent="0.2">
      <c r="A23">
        <v>4</v>
      </c>
      <c r="B23" t="s">
        <v>69</v>
      </c>
      <c r="C23" s="62" t="s">
        <v>174</v>
      </c>
    </row>
    <row r="24" spans="1:3" x14ac:dyDescent="0.2">
      <c r="A24">
        <v>4</v>
      </c>
      <c r="B24" t="s">
        <v>70</v>
      </c>
      <c r="C24" s="62" t="s">
        <v>157</v>
      </c>
    </row>
    <row r="25" spans="1:3" x14ac:dyDescent="0.2">
      <c r="A25">
        <v>4</v>
      </c>
      <c r="B25" t="s">
        <v>71</v>
      </c>
      <c r="C25" s="62" t="s">
        <v>176</v>
      </c>
    </row>
    <row r="26" spans="1:3" x14ac:dyDescent="0.2">
      <c r="A26">
        <v>5</v>
      </c>
      <c r="B26" t="s">
        <v>72</v>
      </c>
      <c r="C26" s="62" t="s">
        <v>175</v>
      </c>
    </row>
    <row r="27" spans="1:3" x14ac:dyDescent="0.2">
      <c r="A27">
        <v>5</v>
      </c>
      <c r="B27" t="s">
        <v>73</v>
      </c>
      <c r="C27" s="62" t="s">
        <v>180</v>
      </c>
    </row>
    <row r="28" spans="1:3" x14ac:dyDescent="0.2">
      <c r="A28">
        <v>5</v>
      </c>
      <c r="B28" t="s">
        <v>74</v>
      </c>
      <c r="C28" s="62" t="s">
        <v>177</v>
      </c>
    </row>
    <row r="29" spans="1:3" x14ac:dyDescent="0.2">
      <c r="A29">
        <v>6</v>
      </c>
      <c r="B29" t="s">
        <v>75</v>
      </c>
      <c r="C29" s="62" t="s">
        <v>166</v>
      </c>
    </row>
    <row r="30" spans="1:3" x14ac:dyDescent="0.2">
      <c r="A30">
        <v>6</v>
      </c>
      <c r="B30" t="s">
        <v>76</v>
      </c>
      <c r="C30" s="62" t="s">
        <v>178</v>
      </c>
    </row>
    <row r="31" spans="1:3" x14ac:dyDescent="0.2">
      <c r="A31">
        <v>6</v>
      </c>
      <c r="B31" t="s">
        <v>77</v>
      </c>
      <c r="C31" s="62" t="s">
        <v>142</v>
      </c>
    </row>
    <row r="32" spans="1:3" x14ac:dyDescent="0.2">
      <c r="A32">
        <v>6</v>
      </c>
      <c r="B32" t="s">
        <v>78</v>
      </c>
      <c r="C32" s="62" t="s">
        <v>167</v>
      </c>
    </row>
    <row r="33" spans="1:5" x14ac:dyDescent="0.2">
      <c r="A33">
        <v>6</v>
      </c>
      <c r="B33" t="s">
        <v>79</v>
      </c>
      <c r="C33" s="62" t="s">
        <v>143</v>
      </c>
    </row>
    <row r="34" spans="1:5" x14ac:dyDescent="0.2">
      <c r="A34">
        <v>6</v>
      </c>
      <c r="B34" t="s">
        <v>80</v>
      </c>
      <c r="C34" s="62" t="s">
        <v>143</v>
      </c>
      <c r="E34" t="str">
        <f>C34&amp;" U.S. MD-granting medical education programs with full LCME accreditation"</f>
        <v>144 U.S. MD-granting medical education programs with full LCME accreditation</v>
      </c>
    </row>
    <row r="35" spans="1:5" x14ac:dyDescent="0.2">
      <c r="A35" t="s">
        <v>110</v>
      </c>
      <c r="B35" t="s">
        <v>111</v>
      </c>
      <c r="C35" s="62" t="s">
        <v>171</v>
      </c>
    </row>
    <row r="36" spans="1:5" x14ac:dyDescent="0.2">
      <c r="A36" t="s">
        <v>110</v>
      </c>
      <c r="B36" t="s">
        <v>112</v>
      </c>
      <c r="C36" s="62" t="s">
        <v>179</v>
      </c>
    </row>
    <row r="37" spans="1:5" x14ac:dyDescent="0.2">
      <c r="A37" t="s">
        <v>110</v>
      </c>
      <c r="B37" t="s">
        <v>113</v>
      </c>
      <c r="C37" s="62" t="s">
        <v>144</v>
      </c>
    </row>
    <row r="38" spans="1:5" x14ac:dyDescent="0.2">
      <c r="A38" t="s">
        <v>110</v>
      </c>
      <c r="B38" t="s">
        <v>114</v>
      </c>
      <c r="C38" s="62" t="s">
        <v>172</v>
      </c>
    </row>
    <row r="39" spans="1:5" x14ac:dyDescent="0.2">
      <c r="A39" t="s">
        <v>110</v>
      </c>
      <c r="B39" t="s">
        <v>115</v>
      </c>
      <c r="C39" s="62" t="s">
        <v>145</v>
      </c>
    </row>
    <row r="40" spans="1:5" x14ac:dyDescent="0.2">
      <c r="A40" t="s">
        <v>110</v>
      </c>
      <c r="B40" t="s">
        <v>116</v>
      </c>
      <c r="C40" s="62" t="s">
        <v>128</v>
      </c>
      <c r="E40" t="str">
        <f>C40&amp;" U.S. MD-granting medical education programs with preliminary, provisional, or full LCME accreditation"</f>
        <v>155 U.S. MD-granting medical education programs with preliminary, provisional, or full LCME accreditation</v>
      </c>
    </row>
    <row r="41" spans="1:5" x14ac:dyDescent="0.2">
      <c r="A41">
        <v>7</v>
      </c>
      <c r="B41" t="s">
        <v>81</v>
      </c>
      <c r="C41" s="62" t="s">
        <v>174</v>
      </c>
    </row>
    <row r="42" spans="1:5" x14ac:dyDescent="0.2">
      <c r="A42">
        <v>7</v>
      </c>
      <c r="B42" t="s">
        <v>82</v>
      </c>
      <c r="C42" s="62" t="s">
        <v>157</v>
      </c>
    </row>
    <row r="43" spans="1:5" x14ac:dyDescent="0.2">
      <c r="A43">
        <v>7</v>
      </c>
      <c r="B43" t="s">
        <v>83</v>
      </c>
      <c r="C43" s="62" t="s">
        <v>146</v>
      </c>
    </row>
    <row r="44" spans="1:5" x14ac:dyDescent="0.2">
      <c r="A44">
        <v>7</v>
      </c>
      <c r="B44" t="s">
        <v>84</v>
      </c>
      <c r="C44" s="62" t="s">
        <v>176</v>
      </c>
    </row>
    <row r="45" spans="1:5" x14ac:dyDescent="0.2">
      <c r="A45">
        <v>7</v>
      </c>
      <c r="B45" t="s">
        <v>85</v>
      </c>
      <c r="C45" s="62" t="s">
        <v>148</v>
      </c>
    </row>
    <row r="46" spans="1:5" x14ac:dyDescent="0.2">
      <c r="A46">
        <v>7</v>
      </c>
      <c r="B46" t="s">
        <v>86</v>
      </c>
      <c r="C46" s="62" t="s">
        <v>148</v>
      </c>
      <c r="E46" t="str">
        <f>C46&amp;" U.S. MD-granting public medical education programs with full LCME accreditation"</f>
        <v>89 U.S. MD-granting public medical education programs with full LCME accreditation</v>
      </c>
    </row>
    <row r="47" spans="1:5" x14ac:dyDescent="0.2">
      <c r="A47">
        <v>8</v>
      </c>
      <c r="B47" t="s">
        <v>87</v>
      </c>
      <c r="C47" s="62" t="s">
        <v>175</v>
      </c>
    </row>
    <row r="48" spans="1:5" x14ac:dyDescent="0.2">
      <c r="A48">
        <v>8</v>
      </c>
      <c r="B48" t="s">
        <v>88</v>
      </c>
      <c r="C48" s="62" t="s">
        <v>180</v>
      </c>
    </row>
    <row r="49" spans="1:5" x14ac:dyDescent="0.2">
      <c r="A49">
        <v>8</v>
      </c>
      <c r="B49" t="s">
        <v>89</v>
      </c>
      <c r="C49" s="62" t="s">
        <v>147</v>
      </c>
    </row>
    <row r="50" spans="1:5" x14ac:dyDescent="0.2">
      <c r="A50">
        <v>8</v>
      </c>
      <c r="B50" t="s">
        <v>90</v>
      </c>
      <c r="C50" s="62" t="s">
        <v>177</v>
      </c>
    </row>
    <row r="51" spans="1:5" x14ac:dyDescent="0.2">
      <c r="A51">
        <v>8</v>
      </c>
      <c r="B51" t="s">
        <v>91</v>
      </c>
      <c r="C51" s="62" t="s">
        <v>64</v>
      </c>
    </row>
    <row r="52" spans="1:5" x14ac:dyDescent="0.2">
      <c r="A52">
        <v>8</v>
      </c>
      <c r="B52" t="s">
        <v>92</v>
      </c>
      <c r="C52" s="62" t="s">
        <v>64</v>
      </c>
      <c r="E52" t="str">
        <f>C52&amp;" U.S. MD-granting private medical education programs with full LCME accreditation"</f>
        <v>55 U.S. MD-granting private medical education programs with full LCME accreditation</v>
      </c>
    </row>
    <row r="53" spans="1:5" x14ac:dyDescent="0.2">
      <c r="A53">
        <v>9</v>
      </c>
      <c r="B53" t="s">
        <v>158</v>
      </c>
      <c r="C53" s="62" t="s">
        <v>181</v>
      </c>
    </row>
    <row r="54" spans="1:5" x14ac:dyDescent="0.2">
      <c r="A54">
        <v>9</v>
      </c>
      <c r="B54" t="s">
        <v>159</v>
      </c>
      <c r="C54" s="62" t="s">
        <v>182</v>
      </c>
    </row>
    <row r="55" spans="1:5" x14ac:dyDescent="0.2">
      <c r="A55">
        <v>9</v>
      </c>
      <c r="B55" t="s">
        <v>160</v>
      </c>
      <c r="C55" s="62" t="s">
        <v>174</v>
      </c>
    </row>
    <row r="56" spans="1:5" x14ac:dyDescent="0.2">
      <c r="A56">
        <v>9</v>
      </c>
      <c r="B56" t="s">
        <v>161</v>
      </c>
      <c r="C56" s="62" t="s">
        <v>176</v>
      </c>
    </row>
    <row r="57" spans="1:5" x14ac:dyDescent="0.2">
      <c r="A57">
        <v>9</v>
      </c>
      <c r="B57" t="s">
        <v>162</v>
      </c>
      <c r="C57" s="62" t="s">
        <v>183</v>
      </c>
    </row>
  </sheetData>
  <pageMargins left="0.7" right="0.7" top="0.75" bottom="0.75" header="0.3" footer="0.3"/>
  <pageSetup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7404A-8BE7-4D45-A7F8-5F893161A1A4}">
  <sheetPr codeName="Sheet1">
    <pageSetUpPr fitToPage="1"/>
  </sheetPr>
  <dimension ref="A1:U37"/>
  <sheetViews>
    <sheetView showGridLines="0" tabSelected="1" zoomScaleNormal="100" workbookViewId="0">
      <selection sqref="A1:B2"/>
    </sheetView>
  </sheetViews>
  <sheetFormatPr defaultColWidth="0" defaultRowHeight="12.75" zeroHeight="1" x14ac:dyDescent="0.2"/>
  <cols>
    <col min="1" max="1" width="1.42578125" style="13" customWidth="1"/>
    <col min="2" max="2" width="7.42578125" style="13" customWidth="1"/>
    <col min="3" max="3" width="45" style="13" customWidth="1"/>
    <col min="4" max="4" width="15.28515625" style="17" customWidth="1"/>
    <col min="5" max="5" width="12.5703125" style="18" customWidth="1"/>
    <col min="6" max="6" width="15.28515625" style="17" customWidth="1"/>
    <col min="7" max="7" width="11.7109375" style="13" customWidth="1"/>
    <col min="8" max="8" width="15.28515625" style="19" customWidth="1"/>
    <col min="9" max="9" width="11.7109375" style="13" customWidth="1"/>
    <col min="10" max="10" width="2.85546875" style="13" customWidth="1"/>
    <col min="11" max="11" width="1.42578125" style="13" customWidth="1"/>
    <col min="12" max="12" width="12.7109375" style="13" hidden="1" customWidth="1"/>
    <col min="13" max="16384" width="9.140625" style="13" hidden="1"/>
  </cols>
  <sheetData>
    <row r="1" spans="1:21" ht="19.5" customHeight="1" x14ac:dyDescent="0.25">
      <c r="A1" s="88" t="str">
        <f ca="1">"TABLE"&amp;CHAR(10)&amp;VLOOKUP(MID(CELL("filename",A1),FIND("]",CELL("filename",A1))+1,255),CHOOSE({2,1},ref!A21:A33,ref!B21:B33),2,0)</f>
        <v>TABLE
1</v>
      </c>
      <c r="B1" s="88"/>
      <c r="C1" s="89" t="str">
        <f>ref!C22</f>
        <v>Revenues Supporting Programs and Activities, FY 2023 ($ in Millions)</v>
      </c>
      <c r="D1" s="89"/>
      <c r="E1" s="89"/>
      <c r="F1" s="89"/>
      <c r="G1" s="89"/>
      <c r="H1" s="89"/>
      <c r="I1" s="89"/>
      <c r="J1" s="12"/>
      <c r="K1" s="12"/>
      <c r="L1" s="70">
        <f>IF($B$11=ref!G2,ref!F2+1,ref!F3+1)</f>
        <v>1</v>
      </c>
    </row>
    <row r="2" spans="1:21" ht="15" customHeight="1" x14ac:dyDescent="0.25">
      <c r="A2" s="88"/>
      <c r="B2" s="88"/>
      <c r="C2" s="90" t="str">
        <f>L2</f>
        <v>U.S. MD-Granting Medical Education Programs with Full LCME Accreditation</v>
      </c>
      <c r="D2" s="90"/>
      <c r="E2" s="90"/>
      <c r="F2" s="90"/>
      <c r="G2" s="90"/>
      <c r="H2" s="90"/>
      <c r="I2" s="90"/>
      <c r="J2" s="12"/>
      <c r="K2" s="12"/>
      <c r="L2" s="70" t="str">
        <f>VLOOKUP((L1-1),ref!F2:G3,2,FALSE)</f>
        <v>U.S. MD-Granting Medical Education Programs with Full LCME Accreditation</v>
      </c>
    </row>
    <row r="3" spans="1:21" s="14" customFormat="1" ht="5.0999999999999996" customHeight="1" x14ac:dyDescent="0.2"/>
    <row r="4" spans="1:21" ht="57.75" customHeight="1" x14ac:dyDescent="0.2">
      <c r="B4" s="91" t="str">
        <f>"The table below displays the total operating revenue by source supporting U.S. MD-granting medical education programs as reported in the FY "&amp;REPyear1&amp;" LCME Part I-A Annual Medical School Questionnaire. As reported in previous years, the Government and Parent Support revenue source includes any Federal Appropriations, State, Local, and Parent University Support. "&amp;"This approach reflects the oftentimes commingled nature of the Government and Parent University Appropriations. "&amp;"Questions about the data or requests for additional comparative data can be directed to "&amp;ContactName&amp;", "&amp;ContactTitle&amp;", Data Operations and Services at "&amp;ContactEmail&amp;"."</f>
        <v>The table below displays the total operating revenue by source supporting U.S. MD-granting medical education programs as reported in the FY 2023 LCME Part I-A Annual Medical School Questionnaire. As reported in previous years, the Government and Parent Support revenue source includes any Federal Appropriations, State, Local, and Parent University Support. This approach reflects the oftentimes commingled nature of the Government and Parent University Appropriations. Questions about the data or requests for additional comparative data can be directed to Clarissa Gomez, Senior Research &amp; Data Analyst, Data Operations and Services at AFQ@aamc.org.</v>
      </c>
      <c r="C4" s="91"/>
      <c r="D4" s="91"/>
      <c r="E4" s="91"/>
      <c r="F4" s="91"/>
      <c r="G4" s="91"/>
      <c r="H4" s="91"/>
      <c r="I4" s="91"/>
      <c r="J4" s="15"/>
      <c r="K4" s="15"/>
      <c r="L4" s="15"/>
    </row>
    <row r="5" spans="1:21" ht="12.75" customHeight="1" x14ac:dyDescent="0.2">
      <c r="B5" s="81"/>
      <c r="C5" s="81"/>
      <c r="D5" s="81"/>
      <c r="E5" s="81"/>
      <c r="F5" s="81"/>
      <c r="G5" s="81"/>
      <c r="H5" s="81"/>
      <c r="I5" s="81"/>
      <c r="J5" s="15"/>
      <c r="K5" s="15"/>
      <c r="L5" s="15"/>
    </row>
    <row r="6" spans="1:21" ht="27" customHeight="1" x14ac:dyDescent="0.2">
      <c r="B6" s="91" t="str">
        <f>IF(L1=1,"Selected Finding:  Total revenue supporting the "&amp;VLOOKUP("&lt;tab1_txt4&gt;", keywords!$B$2:$C$32,2,FALSE)&amp;N16&amp;" was $"&amp;ROUND(D27/1000,1)&amp;" billion in FY "&amp;REPyear1&amp;", which represents an increase of "&amp;rawdata!G61&amp;"% from FY "&amp;REPFY1&amp;".","Selected Finding:  Total revenue supporting the "&amp;VLOOKUP("&lt;tab1a_txt4&gt;",keywords!$B$2:$C$32,2,FALSE)&amp;N16&amp;" was $"&amp;ROUND(D27/1000,1)&amp;" billion in FY "&amp;REPyear1&amp;", which represents an increase of "&amp;rawdata!G76&amp;"% from FY "&amp;REPFY1&amp;".")</f>
        <v>Selected Finding:  Total revenue supporting the 150 U.S. MD-granting medical education programs with full LCME accreditation was $192 billion in FY 2023, which represents an increase of 6.4% from FY 2022.</v>
      </c>
      <c r="C6" s="91"/>
      <c r="D6" s="91"/>
      <c r="E6" s="91"/>
      <c r="F6" s="91"/>
      <c r="G6" s="91"/>
      <c r="H6" s="91"/>
      <c r="I6" s="91"/>
      <c r="J6" s="15"/>
      <c r="K6" s="15"/>
      <c r="L6" s="15"/>
    </row>
    <row r="7" spans="1:21" ht="12.75" customHeight="1" x14ac:dyDescent="0.25">
      <c r="B7" s="16"/>
      <c r="C7" s="16"/>
    </row>
    <row r="8" spans="1:21" ht="7.35" customHeight="1" x14ac:dyDescent="0.25">
      <c r="B8" s="16"/>
      <c r="C8" s="16"/>
    </row>
    <row r="9" spans="1:21" ht="12.75" customHeight="1" x14ac:dyDescent="0.2">
      <c r="B9" s="97" t="s">
        <v>163</v>
      </c>
      <c r="C9" s="97"/>
      <c r="D9" s="97"/>
      <c r="E9" s="97"/>
      <c r="F9" s="97"/>
      <c r="G9" s="97"/>
      <c r="H9" s="97"/>
      <c r="I9" s="97"/>
    </row>
    <row r="10" spans="1:21" ht="7.35" customHeight="1" x14ac:dyDescent="0.25">
      <c r="B10" s="16"/>
      <c r="C10" s="16"/>
    </row>
    <row r="11" spans="1:21" ht="12.75" customHeight="1" x14ac:dyDescent="0.2">
      <c r="B11" s="94" t="s">
        <v>149</v>
      </c>
      <c r="C11" s="95"/>
      <c r="D11" s="95"/>
      <c r="E11" s="95"/>
      <c r="F11" s="95"/>
      <c r="G11" s="95"/>
      <c r="H11" s="95"/>
      <c r="I11" s="96"/>
    </row>
    <row r="12" spans="1:21" ht="27" customHeight="1" x14ac:dyDescent="0.2">
      <c r="B12" s="92" t="s">
        <v>12</v>
      </c>
      <c r="C12" s="93"/>
      <c r="D12" s="20" t="s">
        <v>13</v>
      </c>
      <c r="E12" s="20" t="s">
        <v>14</v>
      </c>
      <c r="F12" s="20" t="s">
        <v>15</v>
      </c>
      <c r="G12" s="20" t="s">
        <v>14</v>
      </c>
      <c r="H12" s="20" t="s">
        <v>16</v>
      </c>
      <c r="I12" s="20" t="s">
        <v>14</v>
      </c>
    </row>
    <row r="13" spans="1:21" x14ac:dyDescent="0.2">
      <c r="B13" s="86" t="s">
        <v>17</v>
      </c>
      <c r="C13" s="87"/>
      <c r="D13" s="21">
        <f t="shared" ref="D13:D27" si="0">P13</f>
        <v>81256</v>
      </c>
      <c r="E13" s="32">
        <f t="shared" ref="E13:E27" si="1">Q13</f>
        <v>42.3</v>
      </c>
      <c r="F13" s="21">
        <f t="shared" ref="F13:F27" si="2">R13</f>
        <v>33454</v>
      </c>
      <c r="G13" s="22">
        <f t="shared" ref="G13:G27" si="3">S13</f>
        <v>17.399999999999999</v>
      </c>
      <c r="H13" s="23">
        <f t="shared" ref="H13:H27" si="4">T13</f>
        <v>47802</v>
      </c>
      <c r="I13" s="22">
        <f t="shared" ref="I13:I27" si="5">U13</f>
        <v>24.9</v>
      </c>
      <c r="L13" s="13" t="str">
        <f>IF($L$1=1,keywords!B2,keywords!B7)</f>
        <v>&lt;tab1_txt1&gt;</v>
      </c>
      <c r="M13" s="13" t="str">
        <f>VLOOKUP($L13,keywords!B1:C52,2,FALSE)</f>
        <v>8,396</v>
      </c>
      <c r="P13" s="13">
        <f>IF($L$1=1,rawdata!D2,rawdata!D17)</f>
        <v>81256</v>
      </c>
      <c r="Q13" s="13">
        <f>IF($L$1=1,rawdata!E2,rawdata!E17)</f>
        <v>42.3</v>
      </c>
      <c r="R13" s="13">
        <f>IF($L$1=1,rawdata!F2,rawdata!F17)</f>
        <v>33454</v>
      </c>
      <c r="S13" s="13">
        <f>IF($L$1=1,rawdata!G2,rawdata!G17)</f>
        <v>17.399999999999999</v>
      </c>
      <c r="T13" s="13">
        <f>IF($L$1=1,rawdata!H2,rawdata!H17)</f>
        <v>47802</v>
      </c>
      <c r="U13" s="13">
        <f>IF($L$1=1,rawdata!I2,rawdata!I17)</f>
        <v>24.9</v>
      </c>
    </row>
    <row r="14" spans="1:21" x14ac:dyDescent="0.2">
      <c r="B14" s="86" t="s">
        <v>18</v>
      </c>
      <c r="C14" s="87"/>
      <c r="D14" s="21">
        <f t="shared" si="0"/>
        <v>39506</v>
      </c>
      <c r="E14" s="32">
        <f t="shared" si="1"/>
        <v>20.6</v>
      </c>
      <c r="F14" s="21">
        <f t="shared" si="2"/>
        <v>20785</v>
      </c>
      <c r="G14" s="22">
        <f t="shared" si="3"/>
        <v>10.8</v>
      </c>
      <c r="H14" s="23">
        <f t="shared" si="4"/>
        <v>18721</v>
      </c>
      <c r="I14" s="22">
        <f t="shared" si="5"/>
        <v>9.6999999999999993</v>
      </c>
      <c r="L14" s="13" t="str">
        <f>IF($L$1=1,keywords!B3,keywords!B8)</f>
        <v>&lt;tab1_txt2&gt;</v>
      </c>
      <c r="M14" s="13" t="str">
        <f>VLOOKUP($L14,keywords!B2:C53,2,FALSE)</f>
        <v>7,757</v>
      </c>
      <c r="P14" s="13">
        <f>IF($L$1=1,rawdata!D3,rawdata!D18)</f>
        <v>39506</v>
      </c>
      <c r="Q14" s="13">
        <f>IF($L$1=1,rawdata!E3,rawdata!E18)</f>
        <v>20.6</v>
      </c>
      <c r="R14" s="13">
        <f>IF($L$1=1,rawdata!F3,rawdata!F18)</f>
        <v>20785</v>
      </c>
      <c r="S14" s="13">
        <f>IF($L$1=1,rawdata!G3,rawdata!G18)</f>
        <v>10.8</v>
      </c>
      <c r="T14" s="13">
        <f>IF($L$1=1,rawdata!H3,rawdata!H18)</f>
        <v>18721</v>
      </c>
      <c r="U14" s="13">
        <f>IF($L$1=1,rawdata!I3,rawdata!I18)</f>
        <v>9.6999999999999993</v>
      </c>
    </row>
    <row r="15" spans="1:21" x14ac:dyDescent="0.2">
      <c r="B15" s="86" t="s">
        <v>19</v>
      </c>
      <c r="C15" s="87"/>
      <c r="D15" s="21">
        <f t="shared" si="0"/>
        <v>7495</v>
      </c>
      <c r="E15" s="32">
        <f t="shared" si="1"/>
        <v>3.9</v>
      </c>
      <c r="F15" s="21">
        <f t="shared" si="2"/>
        <v>4218</v>
      </c>
      <c r="G15" s="22">
        <f t="shared" si="3"/>
        <v>2.2000000000000002</v>
      </c>
      <c r="H15" s="23">
        <f t="shared" si="4"/>
        <v>3277</v>
      </c>
      <c r="I15" s="22">
        <f t="shared" si="5"/>
        <v>1.7</v>
      </c>
      <c r="L15" s="13" t="str">
        <f>IF($L$1=1,keywords!B4,keywords!B9)</f>
        <v>&lt;tab1_txt3&gt;</v>
      </c>
      <c r="M15" s="13" t="str">
        <f>VLOOKUP($L15,keywords!B3:C54,2,FALSE)</f>
        <v>16,153</v>
      </c>
      <c r="P15" s="13">
        <f>IF($L$1=1,rawdata!D4,rawdata!D19)</f>
        <v>7495</v>
      </c>
      <c r="Q15" s="13">
        <f>IF($L$1=1,rawdata!E4,rawdata!E19)</f>
        <v>3.9</v>
      </c>
      <c r="R15" s="13">
        <f>IF($L$1=1,rawdata!F4,rawdata!F19)</f>
        <v>4218</v>
      </c>
      <c r="S15" s="13">
        <f>IF($L$1=1,rawdata!G4,rawdata!G19)</f>
        <v>2.2000000000000002</v>
      </c>
      <c r="T15" s="13">
        <f>IF($L$1=1,rawdata!H4,rawdata!H19)</f>
        <v>3277</v>
      </c>
      <c r="U15" s="13">
        <f>IF($L$1=1,rawdata!I4,rawdata!I19)</f>
        <v>1.7</v>
      </c>
    </row>
    <row r="16" spans="1:21" x14ac:dyDescent="0.2">
      <c r="B16" s="86" t="s">
        <v>20</v>
      </c>
      <c r="C16" s="87"/>
      <c r="D16" s="21">
        <f t="shared" si="0"/>
        <v>6098</v>
      </c>
      <c r="E16" s="32">
        <f t="shared" si="1"/>
        <v>3.2</v>
      </c>
      <c r="F16" s="21">
        <f t="shared" si="2"/>
        <v>5044</v>
      </c>
      <c r="G16" s="22">
        <f t="shared" si="3"/>
        <v>2.6</v>
      </c>
      <c r="H16" s="23">
        <f t="shared" si="4"/>
        <v>1087</v>
      </c>
      <c r="I16" s="22">
        <f t="shared" si="5"/>
        <v>0.6</v>
      </c>
      <c r="L16" s="13" t="str">
        <f>IF($L$1=1,keywords!B5,keywords!B10)</f>
        <v>&lt;tab1_txt4&gt;</v>
      </c>
      <c r="M16" s="13" t="str">
        <f>VLOOKUP($L16,keywords!B4:C55,2,FALSE)</f>
        <v>150</v>
      </c>
      <c r="N16" s="13" t="str">
        <f>IF($L$1=1," U.S. MD-granting medical education programs with full LCME accreditation"," U.S. MD-granting medical education programs with preliminary, provisional, or full LCME accreditation")</f>
        <v xml:space="preserve"> U.S. MD-granting medical education programs with full LCME accreditation</v>
      </c>
      <c r="P16" s="13">
        <f>IF($L$1=1,rawdata!D5,rawdata!D20)</f>
        <v>6098</v>
      </c>
      <c r="Q16" s="13">
        <f>IF($L$1=1,rawdata!E5,rawdata!E20)</f>
        <v>3.2</v>
      </c>
      <c r="R16" s="13">
        <f>IF($L$1=1,rawdata!F5,rawdata!F20)</f>
        <v>5044</v>
      </c>
      <c r="S16" s="13">
        <f>IF($L$1=1,rawdata!G5,rawdata!G20)</f>
        <v>2.6</v>
      </c>
      <c r="T16" s="13">
        <f>IF($L$1=1,rawdata!H5,rawdata!H20)</f>
        <v>1087</v>
      </c>
      <c r="U16" s="13">
        <f>IF($L$1=1,rawdata!I5,rawdata!I20)</f>
        <v>0.6</v>
      </c>
    </row>
    <row r="17" spans="2:21" x14ac:dyDescent="0.2">
      <c r="B17" s="86" t="s">
        <v>21</v>
      </c>
      <c r="C17" s="87"/>
      <c r="D17" s="21">
        <f t="shared" si="0"/>
        <v>3127</v>
      </c>
      <c r="E17" s="32">
        <f t="shared" si="1"/>
        <v>1.6</v>
      </c>
      <c r="F17" s="21">
        <f t="shared" si="2"/>
        <v>2982</v>
      </c>
      <c r="G17" s="22">
        <f t="shared" si="3"/>
        <v>1.6</v>
      </c>
      <c r="H17" s="23">
        <f t="shared" si="4"/>
        <v>146</v>
      </c>
      <c r="I17" s="22">
        <f t="shared" si="5"/>
        <v>0.1</v>
      </c>
      <c r="L17" s="13" t="str">
        <f>IF($L$1=1,keywords!B6,keywords!B11)</f>
        <v>&lt;tab1_txt5&gt;</v>
      </c>
      <c r="M17" s="13" t="str">
        <f>VLOOKUP($L17,keywords!B5:C56,2,FALSE)</f>
        <v>181</v>
      </c>
      <c r="P17" s="13">
        <f>IF($L$1=1,rawdata!D6,rawdata!D21)</f>
        <v>3127</v>
      </c>
      <c r="Q17" s="13">
        <f>IF($L$1=1,rawdata!E6,rawdata!E21)</f>
        <v>1.6</v>
      </c>
      <c r="R17" s="13">
        <f>IF($L$1=1,rawdata!F6,rawdata!F21)</f>
        <v>2982</v>
      </c>
      <c r="S17" s="13">
        <f>IF($L$1=1,rawdata!G6,rawdata!G21)</f>
        <v>1.6</v>
      </c>
      <c r="T17" s="13">
        <f>IF($L$1=1,rawdata!H6,rawdata!H21)</f>
        <v>146</v>
      </c>
      <c r="U17" s="13">
        <f>IF($L$1=1,rawdata!I6,rawdata!I21)</f>
        <v>0.1</v>
      </c>
    </row>
    <row r="18" spans="2:21" x14ac:dyDescent="0.2">
      <c r="B18" s="86" t="s">
        <v>22</v>
      </c>
      <c r="C18" s="87"/>
      <c r="D18" s="21">
        <f t="shared" si="0"/>
        <v>3295</v>
      </c>
      <c r="E18" s="32">
        <f t="shared" si="1"/>
        <v>1.7</v>
      </c>
      <c r="F18" s="21">
        <f t="shared" si="2"/>
        <v>2899</v>
      </c>
      <c r="G18" s="22">
        <f t="shared" si="3"/>
        <v>1.5</v>
      </c>
      <c r="H18" s="23">
        <f t="shared" si="4"/>
        <v>396</v>
      </c>
      <c r="I18" s="22">
        <f t="shared" si="5"/>
        <v>0.2</v>
      </c>
      <c r="P18" s="13">
        <f>IF($L$1=1,rawdata!D7,rawdata!D22)</f>
        <v>3295</v>
      </c>
      <c r="Q18" s="13">
        <f>IF($L$1=1,rawdata!E7,rawdata!E22)</f>
        <v>1.7</v>
      </c>
      <c r="R18" s="13">
        <f>IF($L$1=1,rawdata!F7,rawdata!F22)</f>
        <v>2899</v>
      </c>
      <c r="S18" s="13">
        <f>IF($L$1=1,rawdata!G7,rawdata!G22)</f>
        <v>1.5</v>
      </c>
      <c r="T18" s="13">
        <f>IF($L$1=1,rawdata!H7,rawdata!H22)</f>
        <v>396</v>
      </c>
      <c r="U18" s="13">
        <f>IF($L$1=1,rawdata!I7,rawdata!I22)</f>
        <v>0.2</v>
      </c>
    </row>
    <row r="19" spans="2:21" x14ac:dyDescent="0.2">
      <c r="B19" s="86" t="s">
        <v>33</v>
      </c>
      <c r="C19" s="87"/>
      <c r="D19" s="21">
        <f t="shared" si="0"/>
        <v>6951</v>
      </c>
      <c r="E19" s="32">
        <f t="shared" si="1"/>
        <v>3.6</v>
      </c>
      <c r="F19" s="21">
        <f t="shared" si="2"/>
        <v>6133</v>
      </c>
      <c r="G19" s="22">
        <f t="shared" si="3"/>
        <v>3.2</v>
      </c>
      <c r="H19" s="23">
        <f t="shared" si="4"/>
        <v>817</v>
      </c>
      <c r="I19" s="22">
        <f t="shared" si="5"/>
        <v>0.4</v>
      </c>
      <c r="P19" s="13">
        <f>IF($L$1=1,rawdata!D8,rawdata!D23)</f>
        <v>6951</v>
      </c>
      <c r="Q19" s="13">
        <f>IF($L$1=1,rawdata!E8,rawdata!E23)</f>
        <v>3.6</v>
      </c>
      <c r="R19" s="13">
        <f>IF($L$1=1,rawdata!F8,rawdata!F23)</f>
        <v>6133</v>
      </c>
      <c r="S19" s="13">
        <f>IF($L$1=1,rawdata!G8,rawdata!G23)</f>
        <v>3.2</v>
      </c>
      <c r="T19" s="13">
        <f>IF($L$1=1,rawdata!H8,rawdata!H23)</f>
        <v>817</v>
      </c>
      <c r="U19" s="13">
        <f>IF($L$1=1,rawdata!I8,rawdata!I23)</f>
        <v>0.4</v>
      </c>
    </row>
    <row r="20" spans="2:21" x14ac:dyDescent="0.2">
      <c r="B20" s="86" t="s">
        <v>23</v>
      </c>
      <c r="C20" s="87"/>
      <c r="D20" s="21">
        <f t="shared" si="0"/>
        <v>44320</v>
      </c>
      <c r="E20" s="32">
        <f t="shared" si="1"/>
        <v>23.1</v>
      </c>
      <c r="F20" s="21">
        <f t="shared" si="2"/>
        <v>29995</v>
      </c>
      <c r="G20" s="22">
        <f t="shared" si="3"/>
        <v>15.6</v>
      </c>
      <c r="H20" s="23">
        <f t="shared" si="4"/>
        <v>14324</v>
      </c>
      <c r="I20" s="22">
        <f t="shared" si="5"/>
        <v>7.5</v>
      </c>
      <c r="P20" s="13">
        <f>IF($L$1=1,rawdata!D9,rawdata!D24)</f>
        <v>44320</v>
      </c>
      <c r="Q20" s="13">
        <f>IF($L$1=1,rawdata!E9,rawdata!E24)</f>
        <v>23.1</v>
      </c>
      <c r="R20" s="13">
        <f>IF($L$1=1,rawdata!F9,rawdata!F24)</f>
        <v>29995</v>
      </c>
      <c r="S20" s="13">
        <f>IF($L$1=1,rawdata!G9,rawdata!G24)</f>
        <v>15.6</v>
      </c>
      <c r="T20" s="13">
        <f>IF($L$1=1,rawdata!H9,rawdata!H24)</f>
        <v>14324</v>
      </c>
      <c r="U20" s="13">
        <f>IF($L$1=1,rawdata!I9,rawdata!I24)</f>
        <v>7.5</v>
      </c>
    </row>
    <row r="21" spans="2:21" x14ac:dyDescent="0.2">
      <c r="B21" s="86" t="s">
        <v>42</v>
      </c>
      <c r="C21" s="87"/>
      <c r="D21" s="21">
        <f t="shared" si="0"/>
        <v>28271</v>
      </c>
      <c r="E21" s="32">
        <f t="shared" si="1"/>
        <v>14.7</v>
      </c>
      <c r="F21" s="21">
        <f t="shared" si="2"/>
        <v>17638</v>
      </c>
      <c r="G21" s="22">
        <f t="shared" si="3"/>
        <v>9.1999999999999993</v>
      </c>
      <c r="H21" s="23">
        <f t="shared" si="4"/>
        <v>8453</v>
      </c>
      <c r="I21" s="22">
        <f t="shared" si="5"/>
        <v>4.4000000000000004</v>
      </c>
      <c r="P21" s="13">
        <f>IF($L$1=1,rawdata!D10,rawdata!D25)</f>
        <v>28271</v>
      </c>
      <c r="Q21" s="13">
        <f>IF($L$1=1,rawdata!E10,rawdata!E25)</f>
        <v>14.7</v>
      </c>
      <c r="R21" s="13">
        <f>IF($L$1=1,rawdata!F10,rawdata!F25)</f>
        <v>17638</v>
      </c>
      <c r="S21" s="13">
        <f>IF($L$1=1,rawdata!G10,rawdata!G25)</f>
        <v>9.1999999999999993</v>
      </c>
      <c r="T21" s="13">
        <f>IF($L$1=1,rawdata!H10,rawdata!H25)</f>
        <v>8453</v>
      </c>
      <c r="U21" s="13">
        <f>IF($L$1=1,rawdata!I10,rawdata!I25)</f>
        <v>4.4000000000000004</v>
      </c>
    </row>
    <row r="22" spans="2:21" x14ac:dyDescent="0.2">
      <c r="B22" s="86" t="s">
        <v>24</v>
      </c>
      <c r="C22" s="87"/>
      <c r="D22" s="21">
        <f t="shared" si="0"/>
        <v>20091</v>
      </c>
      <c r="E22" s="32">
        <f t="shared" si="1"/>
        <v>10.5</v>
      </c>
      <c r="F22" s="21">
        <f t="shared" si="2"/>
        <v>12778</v>
      </c>
      <c r="G22" s="22">
        <f t="shared" si="3"/>
        <v>6.7</v>
      </c>
      <c r="H22" s="23">
        <f t="shared" si="4"/>
        <v>5133</v>
      </c>
      <c r="I22" s="22">
        <f t="shared" si="5"/>
        <v>2.7</v>
      </c>
      <c r="P22" s="13">
        <f>IF($L$1=1,rawdata!D11,rawdata!D26)</f>
        <v>20091</v>
      </c>
      <c r="Q22" s="13">
        <f>IF($L$1=1,rawdata!E11,rawdata!E26)</f>
        <v>10.5</v>
      </c>
      <c r="R22" s="13">
        <f>IF($L$1=1,rawdata!F11,rawdata!F26)</f>
        <v>12778</v>
      </c>
      <c r="S22" s="13">
        <f>IF($L$1=1,rawdata!G11,rawdata!G26)</f>
        <v>6.7</v>
      </c>
      <c r="T22" s="13">
        <f>IF($L$1=1,rawdata!H11,rawdata!H26)</f>
        <v>5133</v>
      </c>
      <c r="U22" s="13">
        <f>IF($L$1=1,rawdata!I11,rawdata!I26)</f>
        <v>2.7</v>
      </c>
    </row>
    <row r="23" spans="2:21" x14ac:dyDescent="0.2">
      <c r="B23" s="86" t="s">
        <v>25</v>
      </c>
      <c r="C23" s="87"/>
      <c r="D23" s="21">
        <f t="shared" si="0"/>
        <v>8180</v>
      </c>
      <c r="E23" s="32">
        <f t="shared" si="1"/>
        <v>4.3</v>
      </c>
      <c r="F23" s="21">
        <f t="shared" si="2"/>
        <v>4860</v>
      </c>
      <c r="G23" s="22">
        <f t="shared" si="3"/>
        <v>2.5</v>
      </c>
      <c r="H23" s="23">
        <f t="shared" si="4"/>
        <v>3321</v>
      </c>
      <c r="I23" s="22">
        <f t="shared" si="5"/>
        <v>1.7</v>
      </c>
      <c r="P23" s="13">
        <f>IF($L$1=1,rawdata!D12,rawdata!D27)</f>
        <v>8180</v>
      </c>
      <c r="Q23" s="13">
        <f>IF($L$1=1,rawdata!E12,rawdata!E27)</f>
        <v>4.3</v>
      </c>
      <c r="R23" s="13">
        <f>IF($L$1=1,rawdata!F12,rawdata!F27)</f>
        <v>4860</v>
      </c>
      <c r="S23" s="13">
        <f>IF($L$1=1,rawdata!G12,rawdata!G27)</f>
        <v>2.5</v>
      </c>
      <c r="T23" s="13">
        <f>IF($L$1=1,rawdata!H12,rawdata!H27)</f>
        <v>3321</v>
      </c>
      <c r="U23" s="13">
        <f>IF($L$1=1,rawdata!I12,rawdata!I27)</f>
        <v>1.7</v>
      </c>
    </row>
    <row r="24" spans="2:21" x14ac:dyDescent="0.2">
      <c r="B24" s="86" t="s">
        <v>26</v>
      </c>
      <c r="C24" s="87"/>
      <c r="D24" s="21">
        <f t="shared" si="0"/>
        <v>16049</v>
      </c>
      <c r="E24" s="32">
        <f t="shared" si="1"/>
        <v>8.4</v>
      </c>
      <c r="F24" s="21">
        <f t="shared" si="2"/>
        <v>12358</v>
      </c>
      <c r="G24" s="22">
        <f t="shared" si="3"/>
        <v>6.4</v>
      </c>
      <c r="H24" s="23">
        <f t="shared" si="4"/>
        <v>5871</v>
      </c>
      <c r="I24" s="22">
        <f t="shared" si="5"/>
        <v>3.1</v>
      </c>
      <c r="P24" s="13">
        <f>IF($L$1=1,rawdata!D13,rawdata!D28)</f>
        <v>16049</v>
      </c>
      <c r="Q24" s="13">
        <f>IF($L$1=1,rawdata!E13,rawdata!E28)</f>
        <v>8.4</v>
      </c>
      <c r="R24" s="13">
        <f>IF($L$1=1,rawdata!F13,rawdata!F28)</f>
        <v>12358</v>
      </c>
      <c r="S24" s="13">
        <f>IF($L$1=1,rawdata!G13,rawdata!G28)</f>
        <v>6.4</v>
      </c>
      <c r="T24" s="13">
        <f>IF($L$1=1,rawdata!H13,rawdata!H28)</f>
        <v>5871</v>
      </c>
      <c r="U24" s="13">
        <f>IF($L$1=1,rawdata!I13,rawdata!I28)</f>
        <v>3.1</v>
      </c>
    </row>
    <row r="25" spans="2:21" x14ac:dyDescent="0.2">
      <c r="B25" s="86" t="s">
        <v>24</v>
      </c>
      <c r="C25" s="87"/>
      <c r="D25" s="21">
        <f t="shared" si="0"/>
        <v>13589</v>
      </c>
      <c r="E25" s="32">
        <f t="shared" si="1"/>
        <v>7.1</v>
      </c>
      <c r="F25" s="21">
        <f t="shared" si="2"/>
        <v>11279</v>
      </c>
      <c r="G25" s="22">
        <f t="shared" si="3"/>
        <v>5.9</v>
      </c>
      <c r="H25" s="23">
        <f t="shared" si="4"/>
        <v>4490</v>
      </c>
      <c r="I25" s="22">
        <f t="shared" si="5"/>
        <v>2.2999999999999998</v>
      </c>
      <c r="P25" s="13">
        <f>IF($L$1=1,rawdata!D14,rawdata!D29)</f>
        <v>13589</v>
      </c>
      <c r="Q25" s="13">
        <f>IF($L$1=1,rawdata!E14,rawdata!E29)</f>
        <v>7.1</v>
      </c>
      <c r="R25" s="13">
        <f>IF($L$1=1,rawdata!F14,rawdata!F29)</f>
        <v>11279</v>
      </c>
      <c r="S25" s="13">
        <f>IF($L$1=1,rawdata!G14,rawdata!G29)</f>
        <v>5.9</v>
      </c>
      <c r="T25" s="13">
        <f>IF($L$1=1,rawdata!H14,rawdata!H29)</f>
        <v>4490</v>
      </c>
      <c r="U25" s="13">
        <f>IF($L$1=1,rawdata!I14,rawdata!I29)</f>
        <v>2.2999999999999998</v>
      </c>
    </row>
    <row r="26" spans="2:21" x14ac:dyDescent="0.2">
      <c r="B26" s="86" t="s">
        <v>25</v>
      </c>
      <c r="C26" s="87"/>
      <c r="D26" s="21">
        <f t="shared" si="0"/>
        <v>2460</v>
      </c>
      <c r="E26" s="32">
        <f t="shared" si="1"/>
        <v>1.3</v>
      </c>
      <c r="F26" s="21">
        <f t="shared" si="2"/>
        <v>1079</v>
      </c>
      <c r="G26" s="22">
        <f t="shared" si="3"/>
        <v>0.6</v>
      </c>
      <c r="H26" s="23">
        <f t="shared" si="4"/>
        <v>1381</v>
      </c>
      <c r="I26" s="22">
        <f t="shared" si="5"/>
        <v>0.7</v>
      </c>
      <c r="P26" s="13">
        <f>IF($L$1=1,rawdata!D15,rawdata!D30)</f>
        <v>2460</v>
      </c>
      <c r="Q26" s="13">
        <f>IF($L$1=1,rawdata!E15,rawdata!E30)</f>
        <v>1.3</v>
      </c>
      <c r="R26" s="13">
        <f>IF($L$1=1,rawdata!F15,rawdata!F30)</f>
        <v>1079</v>
      </c>
      <c r="S26" s="13">
        <f>IF($L$1=1,rawdata!G15,rawdata!G30)</f>
        <v>0.6</v>
      </c>
      <c r="T26" s="13">
        <f>IF($L$1=1,rawdata!H15,rawdata!H30)</f>
        <v>1381</v>
      </c>
      <c r="U26" s="13">
        <f>IF($L$1=1,rawdata!I15,rawdata!I30)</f>
        <v>0.7</v>
      </c>
    </row>
    <row r="27" spans="2:21" ht="14.25" customHeight="1" x14ac:dyDescent="0.2">
      <c r="B27" s="99" t="s">
        <v>27</v>
      </c>
      <c r="C27" s="100"/>
      <c r="D27" s="73">
        <f t="shared" si="0"/>
        <v>192047</v>
      </c>
      <c r="E27" s="74">
        <f t="shared" si="1"/>
        <v>100</v>
      </c>
      <c r="F27" s="73">
        <f t="shared" si="2"/>
        <v>105477</v>
      </c>
      <c r="G27" s="75">
        <f t="shared" si="3"/>
        <v>54.9</v>
      </c>
      <c r="H27" s="73">
        <f t="shared" si="4"/>
        <v>86570</v>
      </c>
      <c r="I27" s="75">
        <f t="shared" si="5"/>
        <v>45.1</v>
      </c>
      <c r="P27" s="13">
        <f>IF($L$1=1,rawdata!D16,rawdata!D31)</f>
        <v>192047</v>
      </c>
      <c r="Q27" s="13">
        <f>IF($L$1=1,rawdata!E16,rawdata!E31)</f>
        <v>100</v>
      </c>
      <c r="R27" s="13">
        <f>IF($L$1=1,rawdata!F16,rawdata!F31)</f>
        <v>105477</v>
      </c>
      <c r="S27" s="13">
        <f>IF($L$1=1,rawdata!G16,rawdata!G31)</f>
        <v>54.9</v>
      </c>
      <c r="T27" s="13">
        <f>IF($L$1=1,rawdata!H16,rawdata!H31)</f>
        <v>86570</v>
      </c>
      <c r="U27" s="13">
        <f>IF($L$1=1,rawdata!I16,rawdata!I31)</f>
        <v>45.1</v>
      </c>
    </row>
    <row r="28" spans="2:21" x14ac:dyDescent="0.2">
      <c r="B28" s="24"/>
      <c r="C28" s="24"/>
      <c r="D28" s="25"/>
      <c r="E28" s="25"/>
      <c r="F28" s="25"/>
      <c r="G28" s="25"/>
      <c r="H28" s="25"/>
      <c r="I28" s="25"/>
    </row>
    <row r="29" spans="2:21" ht="56.25" customHeight="1" x14ac:dyDescent="0.2">
      <c r="B29" s="101" t="str">
        <f>"*Includes Practice Plan, Network Affiliation, and Other Medical Service Organization Funds. Practice Plan revenues from affiliated hospitals are reported with Hospital"&amp;"
  Purchased Services &amp; Support: $"&amp;M13&amp;" million recorded revenue, $"&amp;M14&amp;" million not recorded revenue, and $"&amp;M15&amp;" million total revenue."&amp;"
†Includes Sales and Services, Royalties, Consulting, Interest Income, Gains (Losses) on Investments, Leases/Rentals, and Other Miscellaneous Revenues."&amp;"
Totals may not sum due to rounding."</f>
        <v>*Includes Practice Plan, Network Affiliation, and Other Medical Service Organization Funds. Practice Plan revenues from affiliated hospitals are reported with Hospital
  Purchased Services &amp; Support: $8,396 million recorded revenue, $7,757 million not recorded revenue, and $16,153 million total revenue.
†Includes Sales and Services, Royalties, Consulting, Interest Income, Gains (Losses) on Investments, Leases/Rentals, and Other Miscellaneous Revenues.
Totals may not sum due to rounding.</v>
      </c>
      <c r="C29" s="101"/>
      <c r="D29" s="101"/>
      <c r="E29" s="101"/>
      <c r="F29" s="101"/>
      <c r="G29" s="101"/>
      <c r="H29" s="101"/>
      <c r="I29" s="101"/>
    </row>
    <row r="30" spans="2:21" ht="12.75" customHeight="1" x14ac:dyDescent="0.2">
      <c r="B30" s="101" t="str">
        <f>"There were "&amp;M16&amp;N16&amp;" in FY "&amp;REPyear1&amp;". "</f>
        <v xml:space="preserve">There were 150 U.S. MD-granting medical education programs with full LCME accreditation in FY 2023. </v>
      </c>
      <c r="C30" s="101"/>
      <c r="D30" s="101"/>
      <c r="E30" s="101"/>
      <c r="F30" s="101"/>
      <c r="G30" s="101"/>
      <c r="H30" s="101"/>
      <c r="I30" s="101"/>
      <c r="J30" s="26"/>
      <c r="K30" s="26"/>
      <c r="L30" s="26"/>
    </row>
    <row r="31" spans="2:21" x14ac:dyDescent="0.2">
      <c r="B31" s="26"/>
      <c r="C31" s="26"/>
    </row>
    <row r="32" spans="2:21" x14ac:dyDescent="0.2">
      <c r="B32" s="98" t="str">
        <f>"Source: "&amp;ReportSource&amp;" Prepared by the AAMC "&amp;ReportDate&amp;UpdatedDate</f>
        <v>Source: LCME Part I-A Annual Medical School Financial Questionnaire (AFQ), FY 2023. Prepared by the AAMC June 2024.</v>
      </c>
      <c r="C32" s="98"/>
      <c r="D32" s="98"/>
      <c r="E32" s="98"/>
      <c r="F32" s="98"/>
      <c r="G32" s="64"/>
      <c r="H32" s="64"/>
      <c r="I32" s="64"/>
    </row>
    <row r="33" spans="2:9" x14ac:dyDescent="0.2">
      <c r="B33" s="98" t="s">
        <v>103</v>
      </c>
      <c r="C33" s="98"/>
      <c r="D33" s="64"/>
      <c r="E33" s="64"/>
      <c r="F33" s="64"/>
      <c r="G33" s="64"/>
      <c r="H33" s="64"/>
      <c r="I33" s="64"/>
    </row>
    <row r="34" spans="2:9" x14ac:dyDescent="0.2">
      <c r="B34" s="98" t="str">
        <f>Copyright</f>
        <v>©2024 Association of American Medical Colleges. All rights reserved.</v>
      </c>
      <c r="C34" s="98"/>
      <c r="D34" s="98"/>
      <c r="E34" s="64"/>
      <c r="F34" s="64"/>
      <c r="G34" s="64"/>
      <c r="H34" s="64"/>
      <c r="I34" s="64"/>
    </row>
    <row r="35" spans="2:9" x14ac:dyDescent="0.2"/>
    <row r="36" spans="2:9" x14ac:dyDescent="0.2"/>
    <row r="37" spans="2:9" x14ac:dyDescent="0.2"/>
  </sheetData>
  <sheetProtection algorithmName="SHA-512" hashValue="f7idzBTCUgecdYMVlc5kM04Ef8Q9BJNVYSwTFRyKZvx26Q2bHfnYCZjeJnGQuiHuGyjYKwhmfTB5yIwgue1tnA==" saltValue="6jzv+1DRCFNI/x7ZPqBFDw==" spinCount="100000" sheet="1" objects="1" scenarios="1"/>
  <mergeCells count="28">
    <mergeCell ref="B34:D34"/>
    <mergeCell ref="B32:F32"/>
    <mergeCell ref="B27:C27"/>
    <mergeCell ref="B29:I29"/>
    <mergeCell ref="B21:C21"/>
    <mergeCell ref="B22:C22"/>
    <mergeCell ref="B23:C23"/>
    <mergeCell ref="B24:C24"/>
    <mergeCell ref="B33:C33"/>
    <mergeCell ref="B26:C26"/>
    <mergeCell ref="B25:C25"/>
    <mergeCell ref="B30:I30"/>
    <mergeCell ref="B18:C18"/>
    <mergeCell ref="B19:C19"/>
    <mergeCell ref="B20:C20"/>
    <mergeCell ref="A1:B2"/>
    <mergeCell ref="B13:C13"/>
    <mergeCell ref="B14:C14"/>
    <mergeCell ref="B15:C15"/>
    <mergeCell ref="B16:C16"/>
    <mergeCell ref="B17:C17"/>
    <mergeCell ref="C1:I1"/>
    <mergeCell ref="C2:I2"/>
    <mergeCell ref="B4:I4"/>
    <mergeCell ref="B6:I6"/>
    <mergeCell ref="B12:C12"/>
    <mergeCell ref="B11:I11"/>
    <mergeCell ref="B9:I9"/>
  </mergeCells>
  <conditionalFormatting sqref="B13:I26">
    <cfRule type="expression" dxfId="15" priority="3">
      <formula>MOD(ROW(),2)=0</formula>
    </cfRule>
  </conditionalFormatting>
  <conditionalFormatting sqref="D12:I26">
    <cfRule type="expression" dxfId="14" priority="1">
      <formula>MOD(COLUMN(),2)=0</formula>
    </cfRule>
  </conditionalFormatting>
  <hyperlinks>
    <hyperlink ref="B33:C33" r:id="rId1" display="Contact: AFQ@aamc.org" xr:uid="{5195DB86-E065-41D2-9200-9B38913F4543}"/>
  </hyperlinks>
  <printOptions horizontalCentered="1"/>
  <pageMargins left="0.75" right="0.75" top="1" bottom="1" header="0.5" footer="0.5"/>
  <pageSetup scale="94" orientation="landscape" r:id="rId2"/>
  <headerFooter alignWithMargins="0"/>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E051BC09-70FA-4454-A15B-57D41C15A3E9}">
          <x14:formula1>
            <xm:f>ref!$G$2:$G$3</xm:f>
          </x14:formula1>
          <xm:sqref>B11:I11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DC3F4-7D48-4B96-BC1F-B4BAD3A05BEB}">
  <sheetPr codeName="Sheet2"/>
  <dimension ref="A1:U33"/>
  <sheetViews>
    <sheetView showGridLines="0" zoomScaleNormal="100" workbookViewId="0">
      <selection sqref="A1:B2"/>
    </sheetView>
  </sheetViews>
  <sheetFormatPr defaultColWidth="0" defaultRowHeight="12.75" zeroHeight="1" x14ac:dyDescent="0.2"/>
  <cols>
    <col min="1" max="1" width="1.42578125" style="14" customWidth="1"/>
    <col min="2" max="2" width="7.42578125" style="14" customWidth="1"/>
    <col min="3" max="3" width="45" style="14" customWidth="1"/>
    <col min="4" max="4" width="15.28515625" style="29" customWidth="1"/>
    <col min="5" max="5" width="12.5703125" style="30" customWidth="1"/>
    <col min="6" max="6" width="12.5703125" style="29" customWidth="1"/>
    <col min="7" max="7" width="15.28515625" style="29" customWidth="1"/>
    <col min="8" max="8" width="12.5703125" style="31" customWidth="1"/>
    <col min="9" max="9" width="12.5703125" style="14" customWidth="1"/>
    <col min="10" max="10" width="2.85546875" style="14" customWidth="1"/>
    <col min="11" max="11" width="1.42578125" style="14" customWidth="1"/>
    <col min="12" max="12" width="9.28515625" style="14" hidden="1" customWidth="1"/>
    <col min="13" max="16384" width="9.140625" style="14" hidden="1"/>
  </cols>
  <sheetData>
    <row r="1" spans="1:21" ht="19.5" customHeight="1" x14ac:dyDescent="0.25">
      <c r="A1" s="88" t="str">
        <f ca="1">"TABLE"&amp;CHAR(10)&amp;VLOOKUP(MID(CELL("filename",A1),FIND("]",CELL("filename",A1))+1,255),CHOOSE({2,1},ref!A21:A33,ref!B21:B33),2,0)</f>
        <v>TABLE
2</v>
      </c>
      <c r="B1" s="88"/>
      <c r="C1" s="112" t="str">
        <f>ref!C23</f>
        <v>Revenue Supporting Programs and Activities Public vs. Private, FY 2023 ($ in Millions)</v>
      </c>
      <c r="D1" s="112"/>
      <c r="E1" s="112"/>
      <c r="F1" s="112"/>
      <c r="G1" s="112"/>
      <c r="H1" s="112"/>
      <c r="I1" s="112"/>
      <c r="J1" s="27"/>
      <c r="K1" s="27"/>
      <c r="L1" s="71">
        <v>1</v>
      </c>
    </row>
    <row r="2" spans="1:21" s="28" customFormat="1" ht="15" customHeight="1" x14ac:dyDescent="0.25">
      <c r="A2" s="88"/>
      <c r="B2" s="88"/>
      <c r="C2" s="112" t="str">
        <f>L2</f>
        <v>U.S. MD-Granting Medical Education Programs with Full LCME Accreditation</v>
      </c>
      <c r="D2" s="112"/>
      <c r="E2" s="112"/>
      <c r="F2" s="112"/>
      <c r="G2" s="112"/>
      <c r="H2" s="112"/>
      <c r="I2" s="112"/>
      <c r="L2" s="70" t="str">
        <f>VLOOKUP((L1-1),ref!F2:G3,2,FALSE)</f>
        <v>U.S. MD-Granting Medical Education Programs with Full LCME Accreditation</v>
      </c>
    </row>
    <row r="3" spans="1:21" ht="5.0999999999999996" customHeight="1" x14ac:dyDescent="0.2">
      <c r="D3" s="14"/>
      <c r="E3" s="14"/>
      <c r="F3" s="14"/>
      <c r="G3" s="14"/>
      <c r="H3" s="14"/>
    </row>
    <row r="4" spans="1:21" ht="63.75" customHeight="1" x14ac:dyDescent="0.2">
      <c r="B4" s="91" t="str">
        <f>"The table below displays the total operating revenues by source supporting U.S. MD-granting medical education programs as reported in the FY "&amp;REPyear1&amp;" LCME Part I-A Annual Medical School Questionnaire for the "&amp;N9&amp;" and the "&amp;N10&amp;". As reported in previous years, the Government and Parent Support revenue source includes any Federal Appropriations, "&amp;"State, Local, and Parent University Support. This approach reflects the oftentimes commingled nature of the Government and Parent University Appropriations."</f>
        <v>The table below displays the total operating revenues by source supporting U.S. MD-granting medical education programs as reported in the FY 2023 LCME Part I-A Annual Medical School Questionnaire for the 91 U.S. MD-granting public medical education programs with full LCME accreditation and the 59 U.S. MD-granting public medical education programs with full LCME accreditation. As reported in previous years, the Government and Parent Support revenue source includes any Federal Appropriations, State, Local, and Parent University Support. This approach reflects the oftentimes commingled nature of the Government and Parent University Appropriations.</v>
      </c>
      <c r="C4" s="91"/>
      <c r="D4" s="91"/>
      <c r="E4" s="91"/>
      <c r="F4" s="91"/>
      <c r="G4" s="91"/>
      <c r="H4" s="91"/>
      <c r="I4" s="91"/>
    </row>
    <row r="5" spans="1:21" ht="6.75" customHeight="1" x14ac:dyDescent="0.25">
      <c r="B5" s="16"/>
      <c r="C5" s="16"/>
    </row>
    <row r="6" spans="1:21" ht="12.75" customHeight="1" x14ac:dyDescent="0.2">
      <c r="B6" s="102" t="str">
        <f>VLOOKUP((L1-1),ref!F2:G3,2,FALSE)</f>
        <v>U.S. MD-Granting Medical Education Programs with Full LCME Accreditation</v>
      </c>
      <c r="C6" s="103"/>
      <c r="D6" s="103"/>
      <c r="E6" s="103"/>
      <c r="F6" s="103"/>
      <c r="G6" s="103"/>
      <c r="H6" s="103"/>
      <c r="I6" s="104"/>
    </row>
    <row r="7" spans="1:21" ht="13.5" customHeight="1" x14ac:dyDescent="0.25">
      <c r="B7" s="108" t="s">
        <v>12</v>
      </c>
      <c r="C7" s="109"/>
      <c r="D7" s="105" t="str">
        <f>M11&amp;N11</f>
        <v>91 Public Schools</v>
      </c>
      <c r="E7" s="106"/>
      <c r="F7" s="107"/>
      <c r="G7" s="105" t="str">
        <f>M12&amp;N12</f>
        <v>59 Private Schools</v>
      </c>
      <c r="H7" s="106"/>
      <c r="I7" s="107"/>
      <c r="J7" s="16"/>
      <c r="K7" s="16"/>
    </row>
    <row r="8" spans="1:21" ht="13.5" customHeight="1" x14ac:dyDescent="0.2">
      <c r="B8" s="110"/>
      <c r="C8" s="111"/>
      <c r="D8" s="20" t="s">
        <v>13</v>
      </c>
      <c r="E8" s="20" t="s">
        <v>14</v>
      </c>
      <c r="F8" s="20" t="s">
        <v>28</v>
      </c>
      <c r="G8" s="20" t="s">
        <v>13</v>
      </c>
      <c r="H8" s="20" t="s">
        <v>14</v>
      </c>
      <c r="I8" s="20" t="s">
        <v>28</v>
      </c>
    </row>
    <row r="9" spans="1:21" ht="12.75" customHeight="1" x14ac:dyDescent="0.2">
      <c r="B9" s="86" t="s">
        <v>17</v>
      </c>
      <c r="C9" s="87"/>
      <c r="D9" s="23">
        <f>P9</f>
        <v>31191</v>
      </c>
      <c r="E9" s="32">
        <f t="shared" ref="E9:I23" si="0">Q9</f>
        <v>35.9</v>
      </c>
      <c r="F9" s="23">
        <f t="shared" si="0"/>
        <v>343</v>
      </c>
      <c r="G9" s="33">
        <f t="shared" si="0"/>
        <v>50065</v>
      </c>
      <c r="H9" s="34">
        <f t="shared" si="0"/>
        <v>47.6</v>
      </c>
      <c r="I9" s="33">
        <f t="shared" si="0"/>
        <v>849</v>
      </c>
      <c r="L9" s="14" t="str">
        <f>IF($L$1=1,keywords!B12,keywords!#REF!)</f>
        <v>&lt;tab2_txt1&gt;</v>
      </c>
      <c r="M9" s="14" t="str">
        <f>VLOOKUP($L9,keywords!$B$2:$C$52,2,FALSE)</f>
        <v>9,191</v>
      </c>
      <c r="N9" s="14" t="str">
        <f>IF($L$1=1,M11&amp;" U.S. MD-granting public medical education programs with full LCME accreditation",M11&amp;" U.S. MD-granting public medical education programs with preliminary, provisional, or full LCME accreditation")</f>
        <v>91 U.S. MD-granting public medical education programs with full LCME accreditation</v>
      </c>
      <c r="P9" s="14">
        <f>IF($L$1=1,rawdata!D32,rawdata!D47)</f>
        <v>31191</v>
      </c>
      <c r="Q9" s="14">
        <f>IF($L$1=1,rawdata!E32,rawdata!E47)</f>
        <v>35.9</v>
      </c>
      <c r="R9" s="14">
        <f>IF($L$1=1,rawdata!F32,rawdata!F47)</f>
        <v>343</v>
      </c>
      <c r="S9" s="14">
        <f>IF($L$1=1,rawdata!G32,rawdata!G47)</f>
        <v>50065</v>
      </c>
      <c r="T9" s="14">
        <f>IF($L$1=1,rawdata!H32,rawdata!H47)</f>
        <v>47.6</v>
      </c>
      <c r="U9" s="14">
        <f>IF($L$1=1,rawdata!I32,rawdata!I47)</f>
        <v>849</v>
      </c>
    </row>
    <row r="10" spans="1:21" ht="12.75" customHeight="1" x14ac:dyDescent="0.2">
      <c r="B10" s="86" t="s">
        <v>18</v>
      </c>
      <c r="C10" s="87"/>
      <c r="D10" s="23">
        <f t="shared" ref="D10:D23" si="1">P10</f>
        <v>20546</v>
      </c>
      <c r="E10" s="32">
        <f t="shared" si="0"/>
        <v>23.7</v>
      </c>
      <c r="F10" s="23">
        <f t="shared" si="0"/>
        <v>226</v>
      </c>
      <c r="G10" s="33">
        <f t="shared" si="0"/>
        <v>18960</v>
      </c>
      <c r="H10" s="34">
        <f t="shared" si="0"/>
        <v>18</v>
      </c>
      <c r="I10" s="33">
        <f t="shared" si="0"/>
        <v>321</v>
      </c>
      <c r="L10" s="14" t="str">
        <f>IF($L$1=1,keywords!B13,keywords!#REF!)</f>
        <v>&lt;tab2_txt2&gt;</v>
      </c>
      <c r="M10" s="14" t="str">
        <f>VLOOKUP($L10,keywords!$B$2:$C$52,2,FALSE)</f>
        <v>6,962</v>
      </c>
      <c r="N10" s="14" t="str">
        <f>IF($L$1=1,M12&amp;" U.S. MD-granting public medical education programs with full LCME accreditation",M12&amp;" U.S. MD-granting public medical education programs with preliminary, provisional, or full LCME accreditation")</f>
        <v>59 U.S. MD-granting public medical education programs with full LCME accreditation</v>
      </c>
      <c r="P10" s="14">
        <f>IF($L$1=1,rawdata!D33,rawdata!D48)</f>
        <v>20546</v>
      </c>
      <c r="Q10" s="14">
        <f>IF($L$1=1,rawdata!E33,rawdata!E48)</f>
        <v>23.7</v>
      </c>
      <c r="R10" s="14">
        <f>IF($L$1=1,rawdata!F33,rawdata!F48)</f>
        <v>226</v>
      </c>
      <c r="S10" s="14">
        <f>IF($L$1=1,rawdata!G33,rawdata!G48)</f>
        <v>18960</v>
      </c>
      <c r="T10" s="14">
        <f>IF($L$1=1,rawdata!H33,rawdata!H48)</f>
        <v>18</v>
      </c>
      <c r="U10" s="14">
        <f>IF($L$1=1,rawdata!I33,rawdata!I48)</f>
        <v>321</v>
      </c>
    </row>
    <row r="11" spans="1:21" ht="12.75" customHeight="1" x14ac:dyDescent="0.2">
      <c r="B11" s="86" t="s">
        <v>19</v>
      </c>
      <c r="C11" s="87"/>
      <c r="D11" s="23">
        <f t="shared" si="1"/>
        <v>6773</v>
      </c>
      <c r="E11" s="32">
        <f t="shared" si="0"/>
        <v>7.8</v>
      </c>
      <c r="F11" s="23">
        <f t="shared" si="0"/>
        <v>74</v>
      </c>
      <c r="G11" s="33">
        <f t="shared" si="0"/>
        <v>722</v>
      </c>
      <c r="H11" s="34">
        <f t="shared" si="0"/>
        <v>0.7</v>
      </c>
      <c r="I11" s="33">
        <f t="shared" si="0"/>
        <v>12</v>
      </c>
      <c r="L11" s="14" t="str">
        <f>IF($L$1=1,keywords!B14,keywords!#REF!)</f>
        <v>&lt;tab2_txt3&gt;</v>
      </c>
      <c r="M11" s="14" t="str">
        <f>VLOOKUP($L11,keywords!$B$2:$C$52,2,FALSE)</f>
        <v>91</v>
      </c>
      <c r="N11" s="14" t="s">
        <v>126</v>
      </c>
      <c r="P11" s="14">
        <f>IF($L$1=1,rawdata!D34,rawdata!D49)</f>
        <v>6773</v>
      </c>
      <c r="Q11" s="14">
        <f>IF($L$1=1,rawdata!E34,rawdata!E49)</f>
        <v>7.8</v>
      </c>
      <c r="R11" s="14">
        <f>IF($L$1=1,rawdata!F34,rawdata!F49)</f>
        <v>74</v>
      </c>
      <c r="S11" s="14">
        <f>IF($L$1=1,rawdata!G34,rawdata!G49)</f>
        <v>722</v>
      </c>
      <c r="T11" s="14">
        <f>IF($L$1=1,rawdata!H34,rawdata!H49)</f>
        <v>0.7</v>
      </c>
      <c r="U11" s="14">
        <f>IF($L$1=1,rawdata!I34,rawdata!I49)</f>
        <v>12</v>
      </c>
    </row>
    <row r="12" spans="1:21" ht="12.75" customHeight="1" x14ac:dyDescent="0.2">
      <c r="B12" s="86" t="s">
        <v>20</v>
      </c>
      <c r="C12" s="87"/>
      <c r="D12" s="23">
        <f t="shared" si="1"/>
        <v>2737</v>
      </c>
      <c r="E12" s="32">
        <f t="shared" si="0"/>
        <v>3.2</v>
      </c>
      <c r="F12" s="23">
        <f t="shared" si="0"/>
        <v>30</v>
      </c>
      <c r="G12" s="33">
        <f t="shared" si="0"/>
        <v>3361</v>
      </c>
      <c r="H12" s="34">
        <f t="shared" si="0"/>
        <v>3.2</v>
      </c>
      <c r="I12" s="33">
        <f t="shared" si="0"/>
        <v>57</v>
      </c>
      <c r="L12" s="14" t="str">
        <f>IF($L$1=1,keywords!B15,keywords!#REF!)</f>
        <v>&lt;tab2_txt4&gt;</v>
      </c>
      <c r="M12" s="14" t="str">
        <f>VLOOKUP($L12,keywords!$B$2:$C$52,2,FALSE)</f>
        <v>59</v>
      </c>
      <c r="N12" s="14" t="s">
        <v>127</v>
      </c>
      <c r="P12" s="14">
        <f>IF($L$1=1,rawdata!D35,rawdata!D50)</f>
        <v>2737</v>
      </c>
      <c r="Q12" s="14">
        <f>IF($L$1=1,rawdata!E35,rawdata!E50)</f>
        <v>3.2</v>
      </c>
      <c r="R12" s="14">
        <f>IF($L$1=1,rawdata!F35,rawdata!F50)</f>
        <v>30</v>
      </c>
      <c r="S12" s="14">
        <f>IF($L$1=1,rawdata!G35,rawdata!G50)</f>
        <v>3361</v>
      </c>
      <c r="T12" s="14">
        <f>IF($L$1=1,rawdata!H35,rawdata!H50)</f>
        <v>3.2</v>
      </c>
      <c r="U12" s="14">
        <f>IF($L$1=1,rawdata!I35,rawdata!I50)</f>
        <v>57</v>
      </c>
    </row>
    <row r="13" spans="1:21" ht="12.75" customHeight="1" x14ac:dyDescent="0.2">
      <c r="B13" s="86" t="s">
        <v>21</v>
      </c>
      <c r="C13" s="87"/>
      <c r="D13" s="23">
        <f t="shared" si="1"/>
        <v>867</v>
      </c>
      <c r="E13" s="32">
        <f t="shared" si="0"/>
        <v>1</v>
      </c>
      <c r="F13" s="23">
        <f t="shared" si="0"/>
        <v>10</v>
      </c>
      <c r="G13" s="33">
        <f t="shared" si="0"/>
        <v>2260</v>
      </c>
      <c r="H13" s="34">
        <f t="shared" si="0"/>
        <v>2.1</v>
      </c>
      <c r="I13" s="33">
        <f t="shared" si="0"/>
        <v>38</v>
      </c>
      <c r="L13" s="14" t="str">
        <f>IF($L$1=1,keywords!B16,keywords!#REF!)</f>
        <v>&lt;tab2_txt5&gt;</v>
      </c>
      <c r="M13" s="14" t="str">
        <f>VLOOKUP($L13,keywords!$B$2:$C$52,2,FALSE)</f>
        <v>150</v>
      </c>
      <c r="N13" s="14" t="str">
        <f>IF($L$1=1," U.S. MD-granting medical education programs with full LCME accreditation"," U.S. MD-granting medical education programs with preliminary, provisional, or full LCME accreditation")</f>
        <v xml:space="preserve"> U.S. MD-granting medical education programs with full LCME accreditation</v>
      </c>
      <c r="P13" s="14">
        <f>IF($L$1=1,rawdata!D36,rawdata!D51)</f>
        <v>867</v>
      </c>
      <c r="Q13" s="14">
        <f>IF($L$1=1,rawdata!E36,rawdata!E51)</f>
        <v>1</v>
      </c>
      <c r="R13" s="14">
        <f>IF($L$1=1,rawdata!F36,rawdata!F51)</f>
        <v>10</v>
      </c>
      <c r="S13" s="14">
        <f>IF($L$1=1,rawdata!G36,rawdata!G51)</f>
        <v>2260</v>
      </c>
      <c r="T13" s="14">
        <f>IF($L$1=1,rawdata!H36,rawdata!H51)</f>
        <v>2.1</v>
      </c>
      <c r="U13" s="14">
        <f>IF($L$1=1,rawdata!I36,rawdata!I51)</f>
        <v>38</v>
      </c>
    </row>
    <row r="14" spans="1:21" ht="12.75" customHeight="1" x14ac:dyDescent="0.2">
      <c r="B14" s="86" t="s">
        <v>22</v>
      </c>
      <c r="C14" s="87"/>
      <c r="D14" s="23">
        <f t="shared" si="1"/>
        <v>1541</v>
      </c>
      <c r="E14" s="32">
        <f t="shared" si="0"/>
        <v>1.8</v>
      </c>
      <c r="F14" s="23">
        <f t="shared" si="0"/>
        <v>17</v>
      </c>
      <c r="G14" s="33">
        <f t="shared" si="0"/>
        <v>1754</v>
      </c>
      <c r="H14" s="34">
        <f t="shared" si="0"/>
        <v>1.7</v>
      </c>
      <c r="I14" s="33">
        <f t="shared" si="0"/>
        <v>30</v>
      </c>
      <c r="P14" s="14">
        <f>IF($L$1=1,rawdata!D37,rawdata!D52)</f>
        <v>1541</v>
      </c>
      <c r="Q14" s="14">
        <f>IF($L$1=1,rawdata!E37,rawdata!E52)</f>
        <v>1.8</v>
      </c>
      <c r="R14" s="14">
        <f>IF($L$1=1,rawdata!F37,rawdata!F52)</f>
        <v>17</v>
      </c>
      <c r="S14" s="14">
        <f>IF($L$1=1,rawdata!G37,rawdata!G52)</f>
        <v>1754</v>
      </c>
      <c r="T14" s="14">
        <f>IF($L$1=1,rawdata!H37,rawdata!H52)</f>
        <v>1.7</v>
      </c>
      <c r="U14" s="14">
        <f>IF($L$1=1,rawdata!I37,rawdata!I52)</f>
        <v>30</v>
      </c>
    </row>
    <row r="15" spans="1:21" ht="12.75" customHeight="1" x14ac:dyDescent="0.2">
      <c r="B15" s="86" t="s">
        <v>33</v>
      </c>
      <c r="C15" s="87"/>
      <c r="D15" s="23">
        <f t="shared" si="1"/>
        <v>3950</v>
      </c>
      <c r="E15" s="32">
        <f t="shared" si="0"/>
        <v>4.5999999999999996</v>
      </c>
      <c r="F15" s="23">
        <f t="shared" si="0"/>
        <v>43</v>
      </c>
      <c r="G15" s="33">
        <f t="shared" si="0"/>
        <v>3000</v>
      </c>
      <c r="H15" s="34">
        <f t="shared" si="0"/>
        <v>2.9</v>
      </c>
      <c r="I15" s="33">
        <f t="shared" si="0"/>
        <v>51</v>
      </c>
      <c r="P15" s="14">
        <f>IF($L$1=1,rawdata!D38,rawdata!D53)</f>
        <v>3950</v>
      </c>
      <c r="Q15" s="14">
        <f>IF($L$1=1,rawdata!E38,rawdata!E53)</f>
        <v>4.5999999999999996</v>
      </c>
      <c r="R15" s="14">
        <f>IF($L$1=1,rawdata!F38,rawdata!F53)</f>
        <v>43</v>
      </c>
      <c r="S15" s="14">
        <f>IF($L$1=1,rawdata!G38,rawdata!G53)</f>
        <v>3000</v>
      </c>
      <c r="T15" s="14">
        <f>IF($L$1=1,rawdata!H38,rawdata!H53)</f>
        <v>2.9</v>
      </c>
      <c r="U15" s="14">
        <f>IF($L$1=1,rawdata!I38,rawdata!I53)</f>
        <v>51</v>
      </c>
    </row>
    <row r="16" spans="1:21" ht="12.75" customHeight="1" x14ac:dyDescent="0.2">
      <c r="B16" s="86" t="s">
        <v>23</v>
      </c>
      <c r="C16" s="87"/>
      <c r="D16" s="23">
        <f t="shared" si="1"/>
        <v>19189</v>
      </c>
      <c r="E16" s="32">
        <f t="shared" si="0"/>
        <v>22.1</v>
      </c>
      <c r="F16" s="23">
        <f t="shared" si="0"/>
        <v>211</v>
      </c>
      <c r="G16" s="33">
        <f t="shared" si="0"/>
        <v>25131</v>
      </c>
      <c r="H16" s="34">
        <f t="shared" si="0"/>
        <v>23.9</v>
      </c>
      <c r="I16" s="33">
        <f t="shared" si="0"/>
        <v>426</v>
      </c>
      <c r="P16" s="14">
        <f>IF($L$1=1,rawdata!D39,rawdata!D54)</f>
        <v>19189</v>
      </c>
      <c r="Q16" s="14">
        <f>IF($L$1=1,rawdata!E39,rawdata!E54)</f>
        <v>22.1</v>
      </c>
      <c r="R16" s="14">
        <f>IF($L$1=1,rawdata!F39,rawdata!F54)</f>
        <v>211</v>
      </c>
      <c r="S16" s="14">
        <f>IF($L$1=1,rawdata!G39,rawdata!G54)</f>
        <v>25131</v>
      </c>
      <c r="T16" s="14">
        <f>IF($L$1=1,rawdata!H39,rawdata!H54)</f>
        <v>23.9</v>
      </c>
      <c r="U16" s="14">
        <f>IF($L$1=1,rawdata!I39,rawdata!I54)</f>
        <v>426</v>
      </c>
    </row>
    <row r="17" spans="2:21" ht="12.75" customHeight="1" x14ac:dyDescent="0.2">
      <c r="B17" s="86" t="s">
        <v>42</v>
      </c>
      <c r="C17" s="87"/>
      <c r="D17" s="23">
        <f t="shared" si="1"/>
        <v>12274</v>
      </c>
      <c r="E17" s="32">
        <f t="shared" si="0"/>
        <v>14.1</v>
      </c>
      <c r="F17" s="23">
        <f t="shared" si="0"/>
        <v>135</v>
      </c>
      <c r="G17" s="33">
        <f t="shared" si="0"/>
        <v>15997</v>
      </c>
      <c r="H17" s="34">
        <f t="shared" si="0"/>
        <v>15.2</v>
      </c>
      <c r="I17" s="33">
        <f t="shared" si="0"/>
        <v>271</v>
      </c>
      <c r="P17" s="14">
        <f>IF($L$1=1,rawdata!D40,rawdata!D55)</f>
        <v>12274</v>
      </c>
      <c r="Q17" s="14">
        <f>IF($L$1=1,rawdata!E40,rawdata!E55)</f>
        <v>14.1</v>
      </c>
      <c r="R17" s="14">
        <f>IF($L$1=1,rawdata!F40,rawdata!F55)</f>
        <v>135</v>
      </c>
      <c r="S17" s="14">
        <f>IF($L$1=1,rawdata!G40,rawdata!G55)</f>
        <v>15997</v>
      </c>
      <c r="T17" s="14">
        <f>IF($L$1=1,rawdata!H40,rawdata!H55)</f>
        <v>15.2</v>
      </c>
      <c r="U17" s="14">
        <f>IF($L$1=1,rawdata!I40,rawdata!I55)</f>
        <v>271</v>
      </c>
    </row>
    <row r="18" spans="2:21" ht="12.75" customHeight="1" x14ac:dyDescent="0.2">
      <c r="B18" s="86" t="s">
        <v>24</v>
      </c>
      <c r="C18" s="87"/>
      <c r="D18" s="23">
        <f t="shared" si="1"/>
        <v>8769</v>
      </c>
      <c r="E18" s="32">
        <f t="shared" si="0"/>
        <v>10.1</v>
      </c>
      <c r="F18" s="23">
        <f t="shared" si="0"/>
        <v>96</v>
      </c>
      <c r="G18" s="33">
        <f t="shared" si="0"/>
        <v>11322</v>
      </c>
      <c r="H18" s="34">
        <f t="shared" si="0"/>
        <v>10.8</v>
      </c>
      <c r="I18" s="33">
        <f t="shared" si="0"/>
        <v>192</v>
      </c>
      <c r="P18" s="14">
        <f>IF($L$1=1,rawdata!D41,rawdata!D56)</f>
        <v>8769</v>
      </c>
      <c r="Q18" s="14">
        <f>IF($L$1=1,rawdata!E41,rawdata!E56)</f>
        <v>10.1</v>
      </c>
      <c r="R18" s="14">
        <f>IF($L$1=1,rawdata!F41,rawdata!F56)</f>
        <v>96</v>
      </c>
      <c r="S18" s="14">
        <f>IF($L$1=1,rawdata!G41,rawdata!G56)</f>
        <v>11322</v>
      </c>
      <c r="T18" s="14">
        <f>IF($L$1=1,rawdata!H41,rawdata!H56)</f>
        <v>10.8</v>
      </c>
      <c r="U18" s="14">
        <f>IF($L$1=1,rawdata!I41,rawdata!I56)</f>
        <v>192</v>
      </c>
    </row>
    <row r="19" spans="2:21" ht="12.75" customHeight="1" x14ac:dyDescent="0.2">
      <c r="B19" s="86" t="s">
        <v>25</v>
      </c>
      <c r="C19" s="87"/>
      <c r="D19" s="23">
        <f t="shared" si="1"/>
        <v>3505</v>
      </c>
      <c r="E19" s="32">
        <f t="shared" si="0"/>
        <v>4</v>
      </c>
      <c r="F19" s="23">
        <f t="shared" si="0"/>
        <v>39</v>
      </c>
      <c r="G19" s="33">
        <f t="shared" si="0"/>
        <v>4675</v>
      </c>
      <c r="H19" s="34">
        <f t="shared" si="0"/>
        <v>4.4000000000000004</v>
      </c>
      <c r="I19" s="33">
        <f t="shared" si="0"/>
        <v>79</v>
      </c>
      <c r="P19" s="14">
        <f>IF($L$1=1,rawdata!D42,rawdata!D57)</f>
        <v>3505</v>
      </c>
      <c r="Q19" s="14">
        <f>IF($L$1=1,rawdata!E42,rawdata!E57)</f>
        <v>4</v>
      </c>
      <c r="R19" s="14">
        <f>IF($L$1=1,rawdata!F42,rawdata!F57)</f>
        <v>39</v>
      </c>
      <c r="S19" s="14">
        <f>IF($L$1=1,rawdata!G42,rawdata!G57)</f>
        <v>4675</v>
      </c>
      <c r="T19" s="14">
        <f>IF($L$1=1,rawdata!H42,rawdata!H57)</f>
        <v>4.4000000000000004</v>
      </c>
      <c r="U19" s="14">
        <f>IF($L$1=1,rawdata!I42,rawdata!I57)</f>
        <v>79</v>
      </c>
    </row>
    <row r="20" spans="2:21" ht="12.75" customHeight="1" x14ac:dyDescent="0.2">
      <c r="B20" s="86" t="s">
        <v>26</v>
      </c>
      <c r="C20" s="87"/>
      <c r="D20" s="23">
        <f t="shared" si="1"/>
        <v>6915</v>
      </c>
      <c r="E20" s="32">
        <f t="shared" si="0"/>
        <v>8</v>
      </c>
      <c r="F20" s="23">
        <f t="shared" si="0"/>
        <v>76</v>
      </c>
      <c r="G20" s="33">
        <f t="shared" si="0"/>
        <v>9134</v>
      </c>
      <c r="H20" s="34">
        <f t="shared" si="0"/>
        <v>8.6999999999999993</v>
      </c>
      <c r="I20" s="33">
        <f t="shared" si="0"/>
        <v>155</v>
      </c>
      <c r="P20" s="14">
        <f>IF($L$1=1,rawdata!D43,rawdata!D58)</f>
        <v>6915</v>
      </c>
      <c r="Q20" s="14">
        <f>IF($L$1=1,rawdata!E43,rawdata!E58)</f>
        <v>8</v>
      </c>
      <c r="R20" s="14">
        <f>IF($L$1=1,rawdata!F43,rawdata!F58)</f>
        <v>76</v>
      </c>
      <c r="S20" s="14">
        <f>IF($L$1=1,rawdata!G43,rawdata!G58)</f>
        <v>9134</v>
      </c>
      <c r="T20" s="14">
        <f>IF($L$1=1,rawdata!H43,rawdata!H58)</f>
        <v>8.6999999999999993</v>
      </c>
      <c r="U20" s="14">
        <f>IF($L$1=1,rawdata!I43,rawdata!I58)</f>
        <v>155</v>
      </c>
    </row>
    <row r="21" spans="2:21" ht="12.75" customHeight="1" x14ac:dyDescent="0.2">
      <c r="B21" s="86" t="s">
        <v>24</v>
      </c>
      <c r="C21" s="87"/>
      <c r="D21" s="23">
        <f t="shared" si="1"/>
        <v>6008</v>
      </c>
      <c r="E21" s="32">
        <f t="shared" si="0"/>
        <v>6.9</v>
      </c>
      <c r="F21" s="23">
        <f t="shared" si="0"/>
        <v>66</v>
      </c>
      <c r="G21" s="33">
        <f t="shared" si="0"/>
        <v>7581</v>
      </c>
      <c r="H21" s="34">
        <f t="shared" si="0"/>
        <v>7.2</v>
      </c>
      <c r="I21" s="33">
        <f t="shared" si="0"/>
        <v>128</v>
      </c>
      <c r="P21" s="14">
        <f>IF($L$1=1,rawdata!D44,rawdata!D59)</f>
        <v>6008</v>
      </c>
      <c r="Q21" s="14">
        <f>IF($L$1=1,rawdata!E44,rawdata!E59)</f>
        <v>6.9</v>
      </c>
      <c r="R21" s="14">
        <f>IF($L$1=1,rawdata!F44,rawdata!F59)</f>
        <v>66</v>
      </c>
      <c r="S21" s="14">
        <f>IF($L$1=1,rawdata!G44,rawdata!G59)</f>
        <v>7581</v>
      </c>
      <c r="T21" s="14">
        <f>IF($L$1=1,rawdata!H44,rawdata!H59)</f>
        <v>7.2</v>
      </c>
      <c r="U21" s="14">
        <f>IF($L$1=1,rawdata!I44,rawdata!I59)</f>
        <v>128</v>
      </c>
    </row>
    <row r="22" spans="2:21" ht="12.75" customHeight="1" x14ac:dyDescent="0.2">
      <c r="B22" s="86" t="s">
        <v>25</v>
      </c>
      <c r="C22" s="87"/>
      <c r="D22" s="23">
        <f t="shared" si="1"/>
        <v>907</v>
      </c>
      <c r="E22" s="32">
        <f t="shared" si="0"/>
        <v>1</v>
      </c>
      <c r="F22" s="23">
        <f t="shared" si="0"/>
        <v>10</v>
      </c>
      <c r="G22" s="33">
        <f t="shared" si="0"/>
        <v>1553</v>
      </c>
      <c r="H22" s="34">
        <f t="shared" si="0"/>
        <v>1.5</v>
      </c>
      <c r="I22" s="33">
        <f t="shared" si="0"/>
        <v>26</v>
      </c>
      <c r="P22" s="14">
        <f>IF($L$1=1,rawdata!D45,rawdata!D60)</f>
        <v>907</v>
      </c>
      <c r="Q22" s="14">
        <f>IF($L$1=1,rawdata!E45,rawdata!E60)</f>
        <v>1</v>
      </c>
      <c r="R22" s="14">
        <f>IF($L$1=1,rawdata!F45,rawdata!F60)</f>
        <v>10</v>
      </c>
      <c r="S22" s="14">
        <f>IF($L$1=1,rawdata!G45,rawdata!G60)</f>
        <v>1553</v>
      </c>
      <c r="T22" s="14">
        <f>IF($L$1=1,rawdata!H45,rawdata!H60)</f>
        <v>1.5</v>
      </c>
      <c r="U22" s="14">
        <f>IF($L$1=1,rawdata!I45,rawdata!I60)</f>
        <v>26</v>
      </c>
    </row>
    <row r="23" spans="2:21" ht="14.25" customHeight="1" x14ac:dyDescent="0.2">
      <c r="B23" s="99" t="s">
        <v>27</v>
      </c>
      <c r="C23" s="100"/>
      <c r="D23" s="73">
        <f t="shared" si="1"/>
        <v>86794</v>
      </c>
      <c r="E23" s="74">
        <f t="shared" si="0"/>
        <v>100</v>
      </c>
      <c r="F23" s="73">
        <f t="shared" si="0"/>
        <v>954</v>
      </c>
      <c r="G23" s="76">
        <f t="shared" si="0"/>
        <v>105253</v>
      </c>
      <c r="H23" s="77">
        <f t="shared" si="0"/>
        <v>100</v>
      </c>
      <c r="I23" s="76">
        <f t="shared" si="0"/>
        <v>1784</v>
      </c>
      <c r="P23" s="14">
        <f>IF($L$1=1,rawdata!D46,rawdata!D61)</f>
        <v>86794</v>
      </c>
      <c r="Q23" s="14">
        <f>IF($L$1=1,rawdata!E46,rawdata!E61)</f>
        <v>100</v>
      </c>
      <c r="R23" s="14">
        <f>IF($L$1=1,rawdata!F46,rawdata!F61)</f>
        <v>954</v>
      </c>
      <c r="S23" s="14">
        <f>IF($L$1=1,rawdata!G46,rawdata!G61)</f>
        <v>105253</v>
      </c>
      <c r="T23" s="14">
        <f>IF($L$1=1,rawdata!H46,rawdata!H61)</f>
        <v>100</v>
      </c>
      <c r="U23" s="14">
        <f>IF($L$1=1,rawdata!I46,rawdata!I61)</f>
        <v>1784</v>
      </c>
    </row>
    <row r="24" spans="2:21" ht="15" x14ac:dyDescent="0.25">
      <c r="D24" s="35"/>
      <c r="E24" s="35"/>
      <c r="F24" s="35"/>
      <c r="G24" s="35"/>
      <c r="H24" s="35"/>
      <c r="I24" s="35"/>
      <c r="J24" s="35"/>
      <c r="K24" s="35"/>
    </row>
    <row r="25" spans="2:21" s="36" customFormat="1" ht="56.25" customHeight="1" x14ac:dyDescent="0.2">
      <c r="B25" s="101" t="str">
        <f>"*Includes Practice Plan, Network Affiliation, and Other Medical Service Organization Funds. Practice Plan revenues from affiliated hospitals are reported "&amp;"
   with Hospital Purchased Services &amp; Support: $"&amp;M9&amp;" million total revenue for public schools and $"&amp;M10&amp;" million total revenue for private schools."&amp;"
†Includes Sales and Services, Royalties, Consulting, Interest Income, Gains (Losses) on Investments, Leases/Rentals, and Other Miscellaneous Revenues."&amp;"
Totals may not sum due to rounding."</f>
        <v>*Includes Practice Plan, Network Affiliation, and Other Medical Service Organization Funds. Practice Plan revenues from affiliated hospitals are reported 
   with Hospital Purchased Services &amp; Support: $9,191 million total revenue for public schools and $6,962 million total revenue for private schools.
†Includes Sales and Services, Royalties, Consulting, Interest Income, Gains (Losses) on Investments, Leases/Rentals, and Other Miscellaneous Revenues.
Totals may not sum due to rounding.</v>
      </c>
      <c r="C25" s="101"/>
      <c r="D25" s="101"/>
      <c r="E25" s="101"/>
      <c r="F25" s="101"/>
      <c r="G25" s="101"/>
      <c r="H25" s="101"/>
      <c r="I25" s="101"/>
    </row>
    <row r="26" spans="2:21" ht="41.25" customHeight="1" x14ac:dyDescent="0.2">
      <c r="B26" s="101" t="str">
        <f>"There were "&amp;M13&amp;N13&amp;" in FY "&amp;REPyear1&amp;". 
In order to maintain the confidentiality of medical schools in breakouts with fewer than five medical schools, summary tables including public medical school and private
   "&amp;"medical school details only show data from medical education programs with full LCME accreditation. "</f>
        <v xml:space="preserve">There were 150 U.S. MD-granting medical education programs with full LCME accreditation in FY 2023. 
In order to maintain the confidentiality of medical schools in breakouts with fewer than five medical schools, summary tables including public medical school and private
   medical school details only show data from medical education programs with full LCME accreditation. </v>
      </c>
      <c r="C26" s="101"/>
      <c r="D26" s="101"/>
      <c r="E26" s="101"/>
      <c r="F26" s="101"/>
      <c r="G26" s="101"/>
      <c r="H26" s="101"/>
      <c r="I26" s="101"/>
    </row>
    <row r="27" spans="2:21" x14ac:dyDescent="0.2">
      <c r="B27" s="24"/>
      <c r="C27" s="24"/>
    </row>
    <row r="28" spans="2:21" x14ac:dyDescent="0.2">
      <c r="B28" s="98" t="str">
        <f>"Source: "&amp;ReportSource&amp;" Prepared by the AAMC "&amp;ReportDate&amp;UpdatedDate</f>
        <v>Source: LCME Part I-A Annual Medical School Financial Questionnaire (AFQ), FY 2023. Prepared by the AAMC June 2024.</v>
      </c>
      <c r="C28" s="98"/>
      <c r="D28" s="98"/>
      <c r="E28" s="98"/>
      <c r="F28" s="98"/>
      <c r="G28" s="98"/>
      <c r="H28" s="64"/>
      <c r="I28" s="64"/>
    </row>
    <row r="29" spans="2:21" x14ac:dyDescent="0.2">
      <c r="B29" s="98" t="s">
        <v>103</v>
      </c>
      <c r="C29" s="98"/>
      <c r="D29" s="64"/>
      <c r="E29" s="64"/>
      <c r="F29" s="64"/>
      <c r="G29" s="64"/>
      <c r="H29" s="64"/>
      <c r="I29" s="64"/>
    </row>
    <row r="30" spans="2:21" x14ac:dyDescent="0.2">
      <c r="B30" s="98" t="str">
        <f>Copyright</f>
        <v>©2024 Association of American Medical Colleges. All rights reserved.</v>
      </c>
      <c r="C30" s="98"/>
      <c r="D30" s="98"/>
      <c r="E30" s="64"/>
      <c r="F30" s="64"/>
      <c r="G30" s="64"/>
      <c r="H30" s="64"/>
      <c r="I30" s="64"/>
    </row>
    <row r="31" spans="2:21" x14ac:dyDescent="0.2"/>
    <row r="32" spans="2:21" x14ac:dyDescent="0.2"/>
    <row r="33" x14ac:dyDescent="0.2"/>
  </sheetData>
  <sheetProtection algorithmName="SHA-512" hashValue="NEB/X6ixUEgvJSNxBbYtaifvTmsOHDJnXGe3TaqE3ARo7LKDtOkGCT8PLSAeO+VvdqlPVsyxCLLQvOIcdYENOQ==" saltValue="S5elSfl+XTXmg7dBrATCEg==" spinCount="100000" sheet="1" objects="1" scenarios="1"/>
  <mergeCells count="28">
    <mergeCell ref="B28:G28"/>
    <mergeCell ref="B29:C29"/>
    <mergeCell ref="B30:D30"/>
    <mergeCell ref="A1:B2"/>
    <mergeCell ref="B18:C18"/>
    <mergeCell ref="B19:C19"/>
    <mergeCell ref="B20:C20"/>
    <mergeCell ref="B13:C13"/>
    <mergeCell ref="B14:C14"/>
    <mergeCell ref="B15:C15"/>
    <mergeCell ref="B16:C16"/>
    <mergeCell ref="B17:C17"/>
    <mergeCell ref="C1:I1"/>
    <mergeCell ref="C2:I2"/>
    <mergeCell ref="B25:I25"/>
    <mergeCell ref="B4:I4"/>
    <mergeCell ref="B6:I6"/>
    <mergeCell ref="B26:I26"/>
    <mergeCell ref="B11:C11"/>
    <mergeCell ref="B12:C12"/>
    <mergeCell ref="B23:C23"/>
    <mergeCell ref="B21:C21"/>
    <mergeCell ref="B22:C22"/>
    <mergeCell ref="D7:F7"/>
    <mergeCell ref="G7:I7"/>
    <mergeCell ref="B7:C8"/>
    <mergeCell ref="B9:C9"/>
    <mergeCell ref="B10:C10"/>
  </mergeCells>
  <conditionalFormatting sqref="B9:I22">
    <cfRule type="expression" dxfId="13" priority="2">
      <formula>MOD(ROW(),2)=1</formula>
    </cfRule>
  </conditionalFormatting>
  <conditionalFormatting sqref="D8:I22">
    <cfRule type="expression" dxfId="12" priority="1">
      <formula>MOD(COLUMN(),2)=0</formula>
    </cfRule>
  </conditionalFormatting>
  <hyperlinks>
    <hyperlink ref="B29:C29" r:id="rId1" display="Contact: AFQ@aamc.org" xr:uid="{2F36D466-1B6C-4364-918E-CAD2AF418BA0}"/>
  </hyperlinks>
  <printOptions horizontalCentered="1"/>
  <pageMargins left="0.75" right="0.75" top="1" bottom="1" header="0.5" footer="0.5"/>
  <pageSetup scale="86" orientation="landscape" r:id="rId2"/>
  <headerFooter alignWithMargins="0"/>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8F6F7-9FFD-44B3-8268-5653BB940FAA}">
  <sheetPr codeName="Sheet3">
    <pageSetUpPr autoPageBreaks="0"/>
  </sheetPr>
  <dimension ref="A1:Q32"/>
  <sheetViews>
    <sheetView showGridLines="0" zoomScaleNormal="100" workbookViewId="0">
      <selection sqref="A1:B2"/>
    </sheetView>
  </sheetViews>
  <sheetFormatPr defaultColWidth="0" defaultRowHeight="12.75" zeroHeight="1" x14ac:dyDescent="0.2"/>
  <cols>
    <col min="1" max="1" width="1.42578125" style="14" customWidth="1"/>
    <col min="2" max="2" width="7.42578125" style="14" customWidth="1"/>
    <col min="3" max="3" width="45" style="14" customWidth="1"/>
    <col min="4" max="4" width="15.28515625" style="29" customWidth="1"/>
    <col min="5" max="5" width="15.28515625" style="30" customWidth="1"/>
    <col min="6" max="6" width="15.28515625" style="14" customWidth="1"/>
    <col min="7" max="7" width="12.5703125" style="31" customWidth="1"/>
    <col min="8" max="8" width="2.85546875" style="14" customWidth="1"/>
    <col min="9" max="9" width="1.42578125" style="14" customWidth="1"/>
    <col min="10" max="16384" width="9.140625" style="14" hidden="1"/>
  </cols>
  <sheetData>
    <row r="1" spans="1:17" s="28" customFormat="1" ht="19.5" customHeight="1" x14ac:dyDescent="0.25">
      <c r="A1" s="88" t="str">
        <f ca="1">"TABLE"&amp;CHAR(10)&amp;VLOOKUP(MID(CELL("filename",A1),FIND("]",CELL("filename",A1))+1,255),CHOOSE({2,1},ref!A21:A33,ref!B21:B33),2,0)</f>
        <v>TABLE
3</v>
      </c>
      <c r="B1" s="88"/>
      <c r="C1" s="89" t="str">
        <f>ref!C24</f>
        <v>Percent Change in All Revenue, FY 2022 vs. FY 2023 ($ in Millions)</v>
      </c>
      <c r="D1" s="89"/>
      <c r="E1" s="89"/>
      <c r="F1" s="89"/>
      <c r="G1" s="89"/>
      <c r="K1" s="72">
        <f>IF($B$6=ref!G2,ref!F2+1,ref!F3+1)</f>
        <v>1</v>
      </c>
    </row>
    <row r="2" spans="1:17" ht="15" customHeight="1" x14ac:dyDescent="0.25">
      <c r="A2" s="88"/>
      <c r="B2" s="88"/>
      <c r="C2" s="112" t="str">
        <f>K2</f>
        <v>U.S. MD-Granting Medical Education Programs with Full LCME Accreditation</v>
      </c>
      <c r="D2" s="112"/>
      <c r="E2" s="112"/>
      <c r="F2" s="112"/>
      <c r="G2" s="112"/>
      <c r="K2" s="71" t="str">
        <f>VLOOKUP((K1-1),ref!F2:G3,2,FALSE)</f>
        <v>U.S. MD-Granting Medical Education Programs with Full LCME Accreditation</v>
      </c>
    </row>
    <row r="3" spans="1:17" ht="6.75" customHeight="1" x14ac:dyDescent="0.25">
      <c r="E3" s="37"/>
    </row>
    <row r="4" spans="1:17" ht="27" customHeight="1" x14ac:dyDescent="0.2">
      <c r="B4" s="97" t="s">
        <v>163</v>
      </c>
      <c r="C4" s="97"/>
      <c r="D4" s="97"/>
      <c r="E4" s="97"/>
      <c r="F4" s="97"/>
      <c r="G4" s="97"/>
    </row>
    <row r="5" spans="1:17" ht="6.75" customHeight="1" x14ac:dyDescent="0.25">
      <c r="E5" s="37"/>
    </row>
    <row r="6" spans="1:17" ht="12.75" customHeight="1" x14ac:dyDescent="0.2">
      <c r="B6" s="94" t="s">
        <v>149</v>
      </c>
      <c r="C6" s="95"/>
      <c r="D6" s="95"/>
      <c r="E6" s="95"/>
      <c r="F6" s="95"/>
      <c r="G6" s="96"/>
    </row>
    <row r="7" spans="1:17" ht="27" customHeight="1" x14ac:dyDescent="0.2">
      <c r="B7" s="92" t="s">
        <v>12</v>
      </c>
      <c r="C7" s="93"/>
      <c r="D7" s="20" t="str">
        <f>"FY "&amp;REPFY1&amp;"
All Revenue"</f>
        <v>FY 2022
All Revenue</v>
      </c>
      <c r="E7" s="20" t="str">
        <f>"FY "&amp;REPyear1&amp;"
All Revenue"</f>
        <v>FY 2023
All Revenue</v>
      </c>
      <c r="F7" s="38" t="s">
        <v>29</v>
      </c>
      <c r="G7" s="38" t="s">
        <v>30</v>
      </c>
    </row>
    <row r="8" spans="1:17" ht="12.75" customHeight="1" x14ac:dyDescent="0.25">
      <c r="B8" s="113" t="s">
        <v>17</v>
      </c>
      <c r="C8" s="114"/>
      <c r="D8" s="39">
        <f>N8</f>
        <v>75684</v>
      </c>
      <c r="E8" s="40">
        <f t="shared" ref="E8:G22" si="0">O8</f>
        <v>81256</v>
      </c>
      <c r="F8" s="39">
        <f t="shared" si="0"/>
        <v>5572</v>
      </c>
      <c r="G8" s="41">
        <f t="shared" si="0"/>
        <v>7.4</v>
      </c>
      <c r="I8" s="42"/>
      <c r="K8" s="14" t="str">
        <f>IF($K$1=1,keywords!B17,keywords!B20)</f>
        <v>&lt;tab3_txt1&gt;</v>
      </c>
      <c r="L8" s="14" t="str">
        <f>VLOOKUP($K8,keywords!$B$2:$C$52,2,FALSE)</f>
        <v>16,153</v>
      </c>
      <c r="N8" s="14">
        <f>IF($K$1=1,rawdata!D47,rawdata!D62)</f>
        <v>75684</v>
      </c>
      <c r="O8" s="14">
        <f>IF($K$1=1,rawdata!E47,rawdata!E62)</f>
        <v>81256</v>
      </c>
      <c r="P8" s="14">
        <f>IF($K$1=1,rawdata!F47,rawdata!F62)</f>
        <v>5572</v>
      </c>
      <c r="Q8" s="14">
        <f>IF($K$1=1,rawdata!G47,rawdata!G62)</f>
        <v>7.4</v>
      </c>
    </row>
    <row r="9" spans="1:17" ht="12.75" customHeight="1" x14ac:dyDescent="0.25">
      <c r="B9" s="113" t="s">
        <v>18</v>
      </c>
      <c r="C9" s="114"/>
      <c r="D9" s="39">
        <f t="shared" ref="D9:D22" si="1">N9</f>
        <v>36043</v>
      </c>
      <c r="E9" s="40">
        <f t="shared" si="0"/>
        <v>39506</v>
      </c>
      <c r="F9" s="39">
        <f t="shared" si="0"/>
        <v>3463</v>
      </c>
      <c r="G9" s="41">
        <f t="shared" si="0"/>
        <v>9.6</v>
      </c>
      <c r="I9" s="42"/>
      <c r="K9" s="14" t="str">
        <f>IF($K$1=1,keywords!B18,keywords!B21)</f>
        <v>&lt;tab3_txt2&gt;</v>
      </c>
      <c r="L9" s="14" t="str">
        <f>VLOOKUP($K9,keywords!$B$2:$C$52,2,FALSE)</f>
        <v>14,304</v>
      </c>
      <c r="N9" s="14">
        <f>IF($K$1=1,rawdata!D48,rawdata!D63)</f>
        <v>36043</v>
      </c>
      <c r="O9" s="14">
        <f>IF($K$1=1,rawdata!E48,rawdata!E63)</f>
        <v>39506</v>
      </c>
      <c r="P9" s="14">
        <f>IF($K$1=1,rawdata!F48,rawdata!F63)</f>
        <v>3463</v>
      </c>
      <c r="Q9" s="14">
        <f>IF($K$1=1,rawdata!G48,rawdata!G63)</f>
        <v>9.6</v>
      </c>
    </row>
    <row r="10" spans="1:17" ht="12.75" customHeight="1" x14ac:dyDescent="0.25">
      <c r="B10" s="113" t="s">
        <v>19</v>
      </c>
      <c r="C10" s="114"/>
      <c r="D10" s="39">
        <f t="shared" si="1"/>
        <v>6990</v>
      </c>
      <c r="E10" s="40">
        <f t="shared" si="0"/>
        <v>7495</v>
      </c>
      <c r="F10" s="39">
        <f t="shared" si="0"/>
        <v>504</v>
      </c>
      <c r="G10" s="41">
        <f t="shared" si="0"/>
        <v>7.2</v>
      </c>
      <c r="I10" s="42"/>
      <c r="K10" s="14" t="str">
        <f>IF($K$1=1,keywords!B19,keywords!B22)</f>
        <v>&lt;tab3_txt3&gt;</v>
      </c>
      <c r="L10" s="14" t="str">
        <f>VLOOKUP($K10,keywords!$B$2:$C$52,2,FALSE)</f>
        <v>150</v>
      </c>
      <c r="M10" s="14" t="str">
        <f>IF($K$1=1," U.S. MD-granting medical education programs with full LCME accreditation"," U.S. MD-granting medical education programs with preliminary, provisional, or full LCME accreditation")</f>
        <v xml:space="preserve"> U.S. MD-granting medical education programs with full LCME accreditation</v>
      </c>
      <c r="N10" s="14">
        <f>IF($K$1=1,rawdata!D49,rawdata!D64)</f>
        <v>6990</v>
      </c>
      <c r="O10" s="14">
        <f>IF($K$1=1,rawdata!E49,rawdata!E64)</f>
        <v>7495</v>
      </c>
      <c r="P10" s="14">
        <f>IF($K$1=1,rawdata!F49,rawdata!F64)</f>
        <v>504</v>
      </c>
      <c r="Q10" s="14">
        <f>IF($K$1=1,rawdata!G49,rawdata!G64)</f>
        <v>7.2</v>
      </c>
    </row>
    <row r="11" spans="1:17" ht="12.75" customHeight="1" x14ac:dyDescent="0.25">
      <c r="B11" s="113" t="s">
        <v>20</v>
      </c>
      <c r="C11" s="114"/>
      <c r="D11" s="39">
        <f t="shared" si="1"/>
        <v>5842</v>
      </c>
      <c r="E11" s="40">
        <f t="shared" si="0"/>
        <v>6098</v>
      </c>
      <c r="F11" s="39">
        <f t="shared" si="0"/>
        <v>256</v>
      </c>
      <c r="G11" s="41">
        <f t="shared" si="0"/>
        <v>4.4000000000000004</v>
      </c>
      <c r="I11" s="42"/>
      <c r="M11" s="14" t="str">
        <f>IF($K$1=1, "This table includes historical data from U.S. MD-granting medical education programs prior to their receiving full LCME accreditation in FY "&amp;REPyear1&amp;".","")</f>
        <v>This table includes historical data from U.S. MD-granting medical education programs prior to their receiving full LCME accreditation in FY 2023.</v>
      </c>
      <c r="N11" s="14">
        <f>IF($K$1=1,rawdata!D50,rawdata!D65)</f>
        <v>5842</v>
      </c>
      <c r="O11" s="14">
        <f>IF($K$1=1,rawdata!E50,rawdata!E65)</f>
        <v>6098</v>
      </c>
      <c r="P11" s="14">
        <f>IF($K$1=1,rawdata!F50,rawdata!F65)</f>
        <v>256</v>
      </c>
      <c r="Q11" s="14">
        <f>IF($K$1=1,rawdata!G50,rawdata!G65)</f>
        <v>4.4000000000000004</v>
      </c>
    </row>
    <row r="12" spans="1:17" ht="12.75" customHeight="1" x14ac:dyDescent="0.25">
      <c r="B12" s="113" t="s">
        <v>21</v>
      </c>
      <c r="C12" s="114"/>
      <c r="D12" s="39">
        <f t="shared" si="1"/>
        <v>2803</v>
      </c>
      <c r="E12" s="40">
        <f t="shared" si="0"/>
        <v>3127</v>
      </c>
      <c r="F12" s="39">
        <f t="shared" si="0"/>
        <v>325</v>
      </c>
      <c r="G12" s="41">
        <f t="shared" si="0"/>
        <v>11.6</v>
      </c>
      <c r="I12" s="42"/>
      <c r="N12" s="14">
        <f>IF($K$1=1,rawdata!D51,rawdata!D66)</f>
        <v>2803</v>
      </c>
      <c r="O12" s="14">
        <f>IF($K$1=1,rawdata!E51,rawdata!E66)</f>
        <v>3127</v>
      </c>
      <c r="P12" s="14">
        <f>IF($K$1=1,rawdata!F51,rawdata!F66)</f>
        <v>325</v>
      </c>
      <c r="Q12" s="14">
        <f>IF($K$1=1,rawdata!G51,rawdata!G66)</f>
        <v>11.6</v>
      </c>
    </row>
    <row r="13" spans="1:17" ht="12.75" customHeight="1" x14ac:dyDescent="0.25">
      <c r="B13" s="113" t="s">
        <v>22</v>
      </c>
      <c r="C13" s="114"/>
      <c r="D13" s="39">
        <f t="shared" si="1"/>
        <v>2959</v>
      </c>
      <c r="E13" s="40">
        <f t="shared" si="0"/>
        <v>3295</v>
      </c>
      <c r="F13" s="39">
        <f t="shared" si="0"/>
        <v>336</v>
      </c>
      <c r="G13" s="41">
        <f t="shared" si="0"/>
        <v>11.4</v>
      </c>
      <c r="I13" s="42"/>
      <c r="N13" s="14">
        <f>IF($K$1=1,rawdata!D52,rawdata!D67)</f>
        <v>2959</v>
      </c>
      <c r="O13" s="14">
        <f>IF($K$1=1,rawdata!E52,rawdata!E67)</f>
        <v>3295</v>
      </c>
      <c r="P13" s="14">
        <f>IF($K$1=1,rawdata!F52,rawdata!F67)</f>
        <v>336</v>
      </c>
      <c r="Q13" s="14">
        <f>IF($K$1=1,rawdata!G52,rawdata!G67)</f>
        <v>11.4</v>
      </c>
    </row>
    <row r="14" spans="1:17" ht="12.75" customHeight="1" x14ac:dyDescent="0.25">
      <c r="B14" s="113" t="s">
        <v>33</v>
      </c>
      <c r="C14" s="114"/>
      <c r="D14" s="39">
        <f t="shared" si="1"/>
        <v>6705</v>
      </c>
      <c r="E14" s="40">
        <f t="shared" si="0"/>
        <v>6951</v>
      </c>
      <c r="F14" s="39">
        <f t="shared" si="0"/>
        <v>245</v>
      </c>
      <c r="G14" s="41">
        <f t="shared" si="0"/>
        <v>3.7</v>
      </c>
      <c r="I14" s="42"/>
      <c r="N14" s="14">
        <f>IF($K$1=1,rawdata!D53,rawdata!D68)</f>
        <v>6705</v>
      </c>
      <c r="O14" s="14">
        <f>IF($K$1=1,rawdata!E53,rawdata!E68)</f>
        <v>6951</v>
      </c>
      <c r="P14" s="14">
        <f>IF($K$1=1,rawdata!F53,rawdata!F68)</f>
        <v>245</v>
      </c>
      <c r="Q14" s="14">
        <f>IF($K$1=1,rawdata!G53,rawdata!G68)</f>
        <v>3.7</v>
      </c>
    </row>
    <row r="15" spans="1:17" ht="12.75" customHeight="1" x14ac:dyDescent="0.25">
      <c r="B15" s="113" t="s">
        <v>23</v>
      </c>
      <c r="C15" s="114"/>
      <c r="D15" s="39">
        <f t="shared" si="1"/>
        <v>43433</v>
      </c>
      <c r="E15" s="40">
        <f t="shared" si="0"/>
        <v>44320</v>
      </c>
      <c r="F15" s="39">
        <f t="shared" si="0"/>
        <v>887</v>
      </c>
      <c r="G15" s="41">
        <f t="shared" si="0"/>
        <v>2</v>
      </c>
      <c r="I15" s="42"/>
      <c r="N15" s="14">
        <f>IF($K$1=1,rawdata!D54,rawdata!D69)</f>
        <v>43433</v>
      </c>
      <c r="O15" s="14">
        <f>IF($K$1=1,rawdata!E54,rawdata!E69)</f>
        <v>44320</v>
      </c>
      <c r="P15" s="14">
        <f>IF($K$1=1,rawdata!F54,rawdata!F69)</f>
        <v>887</v>
      </c>
      <c r="Q15" s="14">
        <f>IF($K$1=1,rawdata!G54,rawdata!G69)</f>
        <v>2</v>
      </c>
    </row>
    <row r="16" spans="1:17" ht="12.75" customHeight="1" x14ac:dyDescent="0.25">
      <c r="B16" s="113" t="s">
        <v>42</v>
      </c>
      <c r="C16" s="114"/>
      <c r="D16" s="39">
        <f t="shared" si="1"/>
        <v>26006</v>
      </c>
      <c r="E16" s="40">
        <f t="shared" si="0"/>
        <v>28271</v>
      </c>
      <c r="F16" s="39">
        <f t="shared" si="0"/>
        <v>2265</v>
      </c>
      <c r="G16" s="41">
        <f t="shared" si="0"/>
        <v>8.6999999999999993</v>
      </c>
      <c r="I16" s="42"/>
      <c r="N16" s="14">
        <f>IF($K$1=1,rawdata!D55,rawdata!D70)</f>
        <v>26006</v>
      </c>
      <c r="O16" s="14">
        <f>IF($K$1=1,rawdata!E55,rawdata!E70)</f>
        <v>28271</v>
      </c>
      <c r="P16" s="14">
        <f>IF($K$1=1,rawdata!F55,rawdata!F70)</f>
        <v>2265</v>
      </c>
      <c r="Q16" s="14">
        <f>IF($K$1=1,rawdata!G55,rawdata!G70)</f>
        <v>8.6999999999999993</v>
      </c>
    </row>
    <row r="17" spans="2:17" ht="12.75" customHeight="1" x14ac:dyDescent="0.25">
      <c r="B17" s="113" t="s">
        <v>24</v>
      </c>
      <c r="C17" s="114"/>
      <c r="D17" s="39">
        <f t="shared" si="1"/>
        <v>18471</v>
      </c>
      <c r="E17" s="40">
        <f t="shared" si="0"/>
        <v>20091</v>
      </c>
      <c r="F17" s="39">
        <f t="shared" si="0"/>
        <v>1619</v>
      </c>
      <c r="G17" s="41">
        <f t="shared" si="0"/>
        <v>8.8000000000000007</v>
      </c>
      <c r="I17" s="42"/>
      <c r="N17" s="14">
        <f>IF($K$1=1,rawdata!D56,rawdata!D71)</f>
        <v>18471</v>
      </c>
      <c r="O17" s="14">
        <f>IF($K$1=1,rawdata!E56,rawdata!E71)</f>
        <v>20091</v>
      </c>
      <c r="P17" s="14">
        <f>IF($K$1=1,rawdata!F56,rawdata!F71)</f>
        <v>1619</v>
      </c>
      <c r="Q17" s="14">
        <f>IF($K$1=1,rawdata!G56,rawdata!G71)</f>
        <v>8.8000000000000007</v>
      </c>
    </row>
    <row r="18" spans="2:17" ht="12.75" customHeight="1" x14ac:dyDescent="0.25">
      <c r="B18" s="113" t="s">
        <v>25</v>
      </c>
      <c r="C18" s="114"/>
      <c r="D18" s="39">
        <f t="shared" si="1"/>
        <v>7534</v>
      </c>
      <c r="E18" s="40">
        <f t="shared" si="0"/>
        <v>8180</v>
      </c>
      <c r="F18" s="39">
        <f t="shared" si="0"/>
        <v>646</v>
      </c>
      <c r="G18" s="41">
        <f t="shared" si="0"/>
        <v>8.6</v>
      </c>
      <c r="I18" s="42"/>
      <c r="N18" s="14">
        <f>IF($K$1=1,rawdata!D57,rawdata!D72)</f>
        <v>7534</v>
      </c>
      <c r="O18" s="14">
        <f>IF($K$1=1,rawdata!E57,rawdata!E72)</f>
        <v>8180</v>
      </c>
      <c r="P18" s="14">
        <f>IF($K$1=1,rawdata!F57,rawdata!F72)</f>
        <v>646</v>
      </c>
      <c r="Q18" s="14">
        <f>IF($K$1=1,rawdata!G57,rawdata!G72)</f>
        <v>8.6</v>
      </c>
    </row>
    <row r="19" spans="2:17" ht="12.75" customHeight="1" x14ac:dyDescent="0.25">
      <c r="B19" s="113" t="s">
        <v>26</v>
      </c>
      <c r="C19" s="114"/>
      <c r="D19" s="39">
        <f t="shared" si="1"/>
        <v>17427</v>
      </c>
      <c r="E19" s="40">
        <f t="shared" si="0"/>
        <v>16049</v>
      </c>
      <c r="F19" s="39">
        <f t="shared" si="0"/>
        <v>-1378</v>
      </c>
      <c r="G19" s="41">
        <f t="shared" si="0"/>
        <v>-7.9</v>
      </c>
      <c r="I19" s="42"/>
      <c r="N19" s="14">
        <f>IF($K$1=1,rawdata!D58,rawdata!D73)</f>
        <v>17427</v>
      </c>
      <c r="O19" s="14">
        <f>IF($K$1=1,rawdata!E58,rawdata!E73)</f>
        <v>16049</v>
      </c>
      <c r="P19" s="14">
        <f>IF($K$1=1,rawdata!F58,rawdata!F73)</f>
        <v>-1378</v>
      </c>
      <c r="Q19" s="14">
        <f>IF($K$1=1,rawdata!G58,rawdata!G73)</f>
        <v>-7.9</v>
      </c>
    </row>
    <row r="20" spans="2:17" ht="12.75" customHeight="1" x14ac:dyDescent="0.25">
      <c r="B20" s="113" t="s">
        <v>24</v>
      </c>
      <c r="C20" s="114"/>
      <c r="D20" s="39">
        <f t="shared" si="1"/>
        <v>15096</v>
      </c>
      <c r="E20" s="40">
        <f t="shared" si="0"/>
        <v>13589</v>
      </c>
      <c r="F20" s="39">
        <f t="shared" si="0"/>
        <v>-1507</v>
      </c>
      <c r="G20" s="41">
        <f t="shared" si="0"/>
        <v>-10</v>
      </c>
      <c r="I20" s="42"/>
      <c r="N20" s="14">
        <f>IF($K$1=1,rawdata!D59,rawdata!D74)</f>
        <v>15096</v>
      </c>
      <c r="O20" s="14">
        <f>IF($K$1=1,rawdata!E59,rawdata!E74)</f>
        <v>13589</v>
      </c>
      <c r="P20" s="14">
        <f>IF($K$1=1,rawdata!F59,rawdata!F74)</f>
        <v>-1507</v>
      </c>
      <c r="Q20" s="14">
        <f>IF($K$1=1,rawdata!G59,rawdata!G74)</f>
        <v>-10</v>
      </c>
    </row>
    <row r="21" spans="2:17" ht="12.75" customHeight="1" x14ac:dyDescent="0.25">
      <c r="B21" s="113" t="s">
        <v>25</v>
      </c>
      <c r="C21" s="114"/>
      <c r="D21" s="39">
        <f t="shared" si="1"/>
        <v>2332</v>
      </c>
      <c r="E21" s="40">
        <f t="shared" si="0"/>
        <v>2460</v>
      </c>
      <c r="F21" s="39">
        <f t="shared" si="0"/>
        <v>129</v>
      </c>
      <c r="G21" s="41">
        <f t="shared" si="0"/>
        <v>5.5</v>
      </c>
      <c r="I21" s="42"/>
      <c r="N21" s="14">
        <f>IF($K$1=1,rawdata!D60,rawdata!D75)</f>
        <v>2332</v>
      </c>
      <c r="O21" s="14">
        <f>IF($K$1=1,rawdata!E60,rawdata!E75)</f>
        <v>2460</v>
      </c>
      <c r="P21" s="14">
        <f>IF($K$1=1,rawdata!F60,rawdata!F75)</f>
        <v>129</v>
      </c>
      <c r="Q21" s="14">
        <f>IF($K$1=1,rawdata!G60,rawdata!G75)</f>
        <v>5.5</v>
      </c>
    </row>
    <row r="22" spans="2:17" ht="12.75" customHeight="1" x14ac:dyDescent="0.25">
      <c r="B22" s="115" t="s">
        <v>27</v>
      </c>
      <c r="C22" s="116"/>
      <c r="D22" s="78">
        <f t="shared" si="1"/>
        <v>180459</v>
      </c>
      <c r="E22" s="79">
        <f t="shared" si="0"/>
        <v>192047</v>
      </c>
      <c r="F22" s="78">
        <f t="shared" si="0"/>
        <v>11588</v>
      </c>
      <c r="G22" s="80">
        <f t="shared" si="0"/>
        <v>6.4</v>
      </c>
      <c r="I22" s="42"/>
      <c r="N22" s="14">
        <f>IF($K$1=1,rawdata!D61,rawdata!D76)</f>
        <v>180459</v>
      </c>
      <c r="O22" s="14">
        <f>IF($K$1=1,rawdata!E61,rawdata!E76)</f>
        <v>192047</v>
      </c>
      <c r="P22" s="14">
        <f>IF($K$1=1,rawdata!F61,rawdata!F76)</f>
        <v>11588</v>
      </c>
      <c r="Q22" s="14">
        <f>IF($K$1=1,rawdata!G61,rawdata!G76)</f>
        <v>6.4</v>
      </c>
    </row>
    <row r="23" spans="2:17" ht="15" customHeight="1" x14ac:dyDescent="0.2"/>
    <row r="24" spans="2:17" ht="71.25" customHeight="1" x14ac:dyDescent="0.2">
      <c r="B24" s="101" t="str">
        <f>"*Includes Practice Plan, Network Affiliation, and Other Medical Service Organization Funds. Practice Plan revenues from affiliated hospitals are 
   reported with Hospital Purchased Services &amp; Support: $"&amp;L8&amp;" million total revenue (FY "&amp;REPyear1&amp;") and $"&amp;L9&amp;" million total revenue (FY "&amp;REPFY1&amp;").
†Includes Sales and Services, Royalties, Consulting, Interest Income, Gains (Losses) on Investments, Leases/Rentals, and Other Miscellaneous 
   Revenues."&amp;"
Totals may not sum due to rounding."</f>
        <v>*Includes Practice Plan, Network Affiliation, and Other Medical Service Organization Funds. Practice Plan revenues from affiliated hospitals are 
   reported with Hospital Purchased Services &amp; Support: $16,153 million total revenue (FY 2023) and $14,304 million total revenue (FY 2022).
†Includes Sales and Services, Royalties, Consulting, Interest Income, Gains (Losses) on Investments, Leases/Rentals, and Other Miscellaneous 
   Revenues.
Totals may not sum due to rounding.</v>
      </c>
      <c r="C24" s="101"/>
      <c r="D24" s="101"/>
      <c r="E24" s="101"/>
      <c r="F24" s="101"/>
      <c r="G24" s="101"/>
    </row>
    <row r="25" spans="2:17" ht="25.5" customHeight="1" x14ac:dyDescent="0.2">
      <c r="B25" s="101" t="str">
        <f>"There were "&amp;L10&amp;M10&amp;" in FY "&amp;REPyear1&amp;". "&amp;M11</f>
        <v>There were 150 U.S. MD-granting medical education programs with full LCME accreditation in FY 2023. This table includes historical data from U.S. MD-granting medical education programs prior to their receiving full LCME accreditation in FY 2023.</v>
      </c>
      <c r="C25" s="101"/>
      <c r="D25" s="101"/>
      <c r="E25" s="101"/>
      <c r="F25" s="101"/>
      <c r="G25" s="101"/>
    </row>
    <row r="26" spans="2:17" x14ac:dyDescent="0.2">
      <c r="B26" s="63"/>
      <c r="C26" s="63"/>
      <c r="D26" s="63"/>
      <c r="E26" s="63"/>
      <c r="F26" s="63"/>
      <c r="G26" s="63"/>
    </row>
    <row r="27" spans="2:17" x14ac:dyDescent="0.2">
      <c r="B27" s="98" t="str">
        <f>"Source: "&amp;ReportSource&amp;" Prepared by the AAMC "&amp;ReportDate&amp;UpdatedDate</f>
        <v>Source: LCME Part I-A Annual Medical School Financial Questionnaire (AFQ), FY 2023. Prepared by the AAMC June 2024.</v>
      </c>
      <c r="C27" s="98"/>
      <c r="D27" s="98"/>
      <c r="E27" s="98"/>
      <c r="F27" s="98"/>
      <c r="G27" s="64"/>
      <c r="H27" s="64"/>
      <c r="I27" s="64"/>
    </row>
    <row r="28" spans="2:17" x14ac:dyDescent="0.2">
      <c r="B28" s="98" t="s">
        <v>103</v>
      </c>
      <c r="C28" s="98"/>
      <c r="D28" s="64"/>
      <c r="E28" s="64"/>
      <c r="F28" s="64"/>
      <c r="G28" s="64"/>
      <c r="H28" s="43"/>
      <c r="I28" s="43"/>
    </row>
    <row r="29" spans="2:17" x14ac:dyDescent="0.2">
      <c r="B29" s="98" t="str">
        <f>Copyright</f>
        <v>©2024 Association of American Medical Colleges. All rights reserved.</v>
      </c>
      <c r="C29" s="98"/>
      <c r="D29" s="98"/>
      <c r="E29" s="64"/>
      <c r="F29" s="64"/>
      <c r="G29" s="64"/>
      <c r="H29" s="43"/>
      <c r="I29" s="43"/>
    </row>
    <row r="30" spans="2:17" x14ac:dyDescent="0.2"/>
    <row r="31" spans="2:17" x14ac:dyDescent="0.2"/>
    <row r="32" spans="2:17" x14ac:dyDescent="0.2"/>
  </sheetData>
  <sheetProtection algorithmName="SHA-512" hashValue="OO+S361i+LYnexosyLHXAPk6s7NaKWY8kN3IPggDbVxD8D7B65TZXL2CwgHDTplXmjxCTcJjFKG7slreaBnXQw==" saltValue="9dMb4gCcUXzh85wN337nzw==" spinCount="100000" sheet="1" objects="1" scenarios="1"/>
  <mergeCells count="26">
    <mergeCell ref="A1:B2"/>
    <mergeCell ref="B17:C17"/>
    <mergeCell ref="B18:C18"/>
    <mergeCell ref="B19:C19"/>
    <mergeCell ref="B12:C12"/>
    <mergeCell ref="B13:C13"/>
    <mergeCell ref="B14:C14"/>
    <mergeCell ref="B15:C15"/>
    <mergeCell ref="B16:C16"/>
    <mergeCell ref="B7:C7"/>
    <mergeCell ref="B8:C8"/>
    <mergeCell ref="B9:C9"/>
    <mergeCell ref="C1:G1"/>
    <mergeCell ref="C2:G2"/>
    <mergeCell ref="B4:G4"/>
    <mergeCell ref="B6:G6"/>
    <mergeCell ref="B27:F27"/>
    <mergeCell ref="B28:C28"/>
    <mergeCell ref="B29:D29"/>
    <mergeCell ref="B24:G24"/>
    <mergeCell ref="B10:C10"/>
    <mergeCell ref="B11:C11"/>
    <mergeCell ref="B25:G25"/>
    <mergeCell ref="B22:C22"/>
    <mergeCell ref="B20:C20"/>
    <mergeCell ref="B21:C21"/>
  </mergeCells>
  <conditionalFormatting sqref="B8:G21">
    <cfRule type="expression" dxfId="11" priority="5">
      <formula>MOD(ROW(),2)=0</formula>
    </cfRule>
  </conditionalFormatting>
  <conditionalFormatting sqref="D7:G21">
    <cfRule type="expression" dxfId="10" priority="4">
      <formula>MOD(COLUMN(),2)=0</formula>
    </cfRule>
  </conditionalFormatting>
  <hyperlinks>
    <hyperlink ref="B28:C28" r:id="rId1" display="Contact: AFQ@aamc.org" xr:uid="{3985110B-F74E-4137-9FCF-9F1CD5A62CCA}"/>
  </hyperlinks>
  <printOptions horizontalCentered="1"/>
  <pageMargins left="0.75" right="0.75" top="1" bottom="1" header="0.5" footer="0.5"/>
  <pageSetup scale="86" orientation="landscape" r:id="rId2"/>
  <headerFooter alignWithMargins="0"/>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51C2F0D-515E-43AA-A977-8E11340BF09D}">
          <x14:formula1>
            <xm:f>ref!$G$2:$G$3</xm:f>
          </x14:formula1>
          <xm:sqref>B6:G6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395C5-DB17-48A0-B079-0F8FBD6FB0B9}">
  <sheetPr codeName="Sheet4"/>
  <dimension ref="A1:S30"/>
  <sheetViews>
    <sheetView showGridLines="0" zoomScaleNormal="100" workbookViewId="0">
      <selection sqref="A1:B2"/>
    </sheetView>
  </sheetViews>
  <sheetFormatPr defaultColWidth="0" defaultRowHeight="12.75" zeroHeight="1" x14ac:dyDescent="0.2"/>
  <cols>
    <col min="1" max="1" width="1.42578125" style="14" customWidth="1"/>
    <col min="2" max="2" width="7.42578125" style="14" customWidth="1"/>
    <col min="3" max="3" width="45" style="14" customWidth="1"/>
    <col min="4" max="4" width="15.28515625" style="29" customWidth="1"/>
    <col min="5" max="5" width="15.28515625" style="30" customWidth="1"/>
    <col min="6" max="6" width="15.28515625" style="14" customWidth="1"/>
    <col min="7" max="7" width="12.5703125" style="31" customWidth="1"/>
    <col min="8" max="8" width="2.85546875" style="14" customWidth="1"/>
    <col min="9" max="9" width="1.42578125" style="14" customWidth="1"/>
    <col min="10" max="10" width="6.140625" style="14" hidden="1" customWidth="1"/>
    <col min="11" max="16384" width="9.140625" style="14" hidden="1"/>
  </cols>
  <sheetData>
    <row r="1" spans="1:19" ht="19.5" customHeight="1" x14ac:dyDescent="0.25">
      <c r="A1" s="88" t="str">
        <f ca="1">"TABLE"&amp;CHAR(10)&amp;VLOOKUP(MID(CELL("filename",A1),FIND("]",CELL("filename",A1))+1,255),CHOOSE({2,1},ref!A21:A33,ref!B21:B33),2,0)</f>
        <v>TABLE
4</v>
      </c>
      <c r="B1" s="88"/>
      <c r="C1" s="89" t="str">
        <f>ref!C25</f>
        <v>Percent Change in All Revenue at Public U.S. Medical Schools, FY 2022 vs. FY 2023 ($ in Millions)</v>
      </c>
      <c r="D1" s="89"/>
      <c r="E1" s="89"/>
      <c r="F1" s="89"/>
      <c r="G1" s="89"/>
      <c r="L1" s="71">
        <v>1</v>
      </c>
    </row>
    <row r="2" spans="1:19" ht="15" customHeight="1" x14ac:dyDescent="0.25">
      <c r="A2" s="88"/>
      <c r="B2" s="88"/>
      <c r="C2" s="89" t="str">
        <f>L2</f>
        <v>U.S. MD-Granting Medical Education Programs with Full LCME Accreditation</v>
      </c>
      <c r="D2" s="89"/>
      <c r="E2" s="89"/>
      <c r="F2" s="89"/>
      <c r="G2" s="89"/>
      <c r="L2" s="71" t="str">
        <f>VLOOKUP((L1-1),ref!F2:I3,2,FALSE)</f>
        <v>U.S. MD-Granting Medical Education Programs with Full LCME Accreditation</v>
      </c>
    </row>
    <row r="3" spans="1:19" ht="12.75" customHeight="1" x14ac:dyDescent="0.25">
      <c r="E3" s="37"/>
    </row>
    <row r="4" spans="1:19" ht="12.75" customHeight="1" x14ac:dyDescent="0.2">
      <c r="B4" s="102" t="str">
        <f>VLOOKUP((L1-1),ref!F2:I3,2,FALSE)</f>
        <v>U.S. MD-Granting Medical Education Programs with Full LCME Accreditation</v>
      </c>
      <c r="C4" s="103"/>
      <c r="D4" s="103"/>
      <c r="E4" s="103"/>
      <c r="F4" s="103"/>
      <c r="G4" s="104"/>
    </row>
    <row r="5" spans="1:19" ht="27" customHeight="1" x14ac:dyDescent="0.2">
      <c r="B5" s="92" t="s">
        <v>12</v>
      </c>
      <c r="C5" s="93"/>
      <c r="D5" s="20" t="str">
        <f>"FY "&amp;REPFY1&amp;"
All Revenue"</f>
        <v>FY 2022
All Revenue</v>
      </c>
      <c r="E5" s="20" t="str">
        <f>"FY "&amp;REPyear1&amp;"
All Revenue"</f>
        <v>FY 2023
All Revenue</v>
      </c>
      <c r="F5" s="38" t="s">
        <v>29</v>
      </c>
      <c r="G5" s="38" t="s">
        <v>30</v>
      </c>
    </row>
    <row r="6" spans="1:19" ht="12.75" customHeight="1" x14ac:dyDescent="0.25">
      <c r="B6" s="113" t="s">
        <v>17</v>
      </c>
      <c r="C6" s="114"/>
      <c r="D6" s="39">
        <f>P6</f>
        <v>29336</v>
      </c>
      <c r="E6" s="40">
        <f t="shared" ref="E6:G20" si="0">Q6</f>
        <v>31191</v>
      </c>
      <c r="F6" s="39">
        <f t="shared" si="0"/>
        <v>1854</v>
      </c>
      <c r="G6" s="41">
        <f t="shared" si="0"/>
        <v>6.3</v>
      </c>
      <c r="J6" s="42"/>
      <c r="L6" s="14" t="str">
        <f>IF($L$1=1,keywords!B23,keywords!#REF!)</f>
        <v>&lt;tab4_txt1&gt;</v>
      </c>
      <c r="M6" s="14" t="str">
        <f>VLOOKUP($L6,keywords!$B$2:$C$52,2,FALSE)</f>
        <v>9,191</v>
      </c>
      <c r="P6" s="14">
        <f>IF($L$1=1,rawdata!D77,"")</f>
        <v>29336</v>
      </c>
      <c r="Q6" s="14">
        <f>IF($L$1=1,rawdata!E77,"")</f>
        <v>31191</v>
      </c>
      <c r="R6" s="14">
        <f>IF($L$1=1,rawdata!F77,"")</f>
        <v>1854</v>
      </c>
      <c r="S6" s="14">
        <f>IF($L$1=1,rawdata!G77,"")</f>
        <v>6.3</v>
      </c>
    </row>
    <row r="7" spans="1:19" ht="12.75" customHeight="1" x14ac:dyDescent="0.25">
      <c r="B7" s="113" t="s">
        <v>18</v>
      </c>
      <c r="C7" s="114"/>
      <c r="D7" s="39">
        <f t="shared" ref="D7:D20" si="1">P7</f>
        <v>18405</v>
      </c>
      <c r="E7" s="40">
        <f t="shared" si="0"/>
        <v>20546</v>
      </c>
      <c r="F7" s="39">
        <f t="shared" si="0"/>
        <v>2141</v>
      </c>
      <c r="G7" s="41">
        <f t="shared" si="0"/>
        <v>11.6</v>
      </c>
      <c r="J7" s="42"/>
      <c r="L7" s="14" t="str">
        <f>IF($L$1=1,keywords!B24,keywords!#REF!)</f>
        <v>&lt;tab4_txt2&gt;</v>
      </c>
      <c r="M7" s="14" t="str">
        <f>VLOOKUP($L7,keywords!$B$2:$C$52,2,FALSE)</f>
        <v>7,978</v>
      </c>
      <c r="P7" s="14">
        <f>IF($L$1=1,rawdata!D78,"")</f>
        <v>18405</v>
      </c>
      <c r="Q7" s="14">
        <f>IF($L$1=1,rawdata!E78,"")</f>
        <v>20546</v>
      </c>
      <c r="R7" s="14">
        <f>IF($L$1=1,rawdata!F78,"")</f>
        <v>2141</v>
      </c>
      <c r="S7" s="14">
        <f>IF($L$1=1,rawdata!G78,"")</f>
        <v>11.6</v>
      </c>
    </row>
    <row r="8" spans="1:19" ht="12.75" customHeight="1" x14ac:dyDescent="0.25">
      <c r="B8" s="113" t="s">
        <v>19</v>
      </c>
      <c r="C8" s="114"/>
      <c r="D8" s="39">
        <f t="shared" si="1"/>
        <v>6166</v>
      </c>
      <c r="E8" s="40">
        <f t="shared" si="0"/>
        <v>6773</v>
      </c>
      <c r="F8" s="39">
        <f t="shared" si="0"/>
        <v>607</v>
      </c>
      <c r="G8" s="41">
        <f t="shared" si="0"/>
        <v>9.8000000000000007</v>
      </c>
      <c r="J8" s="42"/>
      <c r="L8" s="14" t="str">
        <f>IF($L$1=1,keywords!B25,keywords!#REF!)</f>
        <v>&lt;tab4_txt3&gt;</v>
      </c>
      <c r="M8" s="14" t="str">
        <f>VLOOKUP($L8,keywords!$B$2:$C$52,2,FALSE)</f>
        <v>91</v>
      </c>
      <c r="N8" s="14" t="str">
        <f>IF($L$1=1, " U.S. MD-granting public medical education programs with full LCME accreditation"," U.S. MD-granting public medical education programs with preliminary, provisional, or full LCME accreditation")</f>
        <v xml:space="preserve"> U.S. MD-granting public medical education programs with full LCME accreditation</v>
      </c>
      <c r="P8" s="14">
        <f>IF($L$1=1,rawdata!D79,"")</f>
        <v>6166</v>
      </c>
      <c r="Q8" s="14">
        <f>IF($L$1=1,rawdata!E79,"")</f>
        <v>6773</v>
      </c>
      <c r="R8" s="14">
        <f>IF($L$1=1,rawdata!F79,"")</f>
        <v>607</v>
      </c>
      <c r="S8" s="14">
        <f>IF($L$1=1,rawdata!G79,"")</f>
        <v>9.8000000000000007</v>
      </c>
    </row>
    <row r="9" spans="1:19" ht="12.75" customHeight="1" x14ac:dyDescent="0.25">
      <c r="B9" s="113" t="s">
        <v>20</v>
      </c>
      <c r="C9" s="114"/>
      <c r="D9" s="39">
        <f t="shared" si="1"/>
        <v>2639</v>
      </c>
      <c r="E9" s="40">
        <f t="shared" si="0"/>
        <v>2737</v>
      </c>
      <c r="F9" s="39">
        <f t="shared" si="0"/>
        <v>98</v>
      </c>
      <c r="G9" s="41">
        <f t="shared" si="0"/>
        <v>3.7</v>
      </c>
      <c r="J9" s="42"/>
      <c r="N9" s="14" t="str">
        <f>IF($L$1=1, "This table includes historical data from
   U.S MD-granting public medical education programs prior to their receiving full LCME accreditation in FY "&amp;REPyear1&amp;".","")</f>
        <v>This table includes historical data from
   U.S MD-granting public medical education programs prior to their receiving full LCME accreditation in FY 2023.</v>
      </c>
      <c r="P9" s="14">
        <f>IF($L$1=1,rawdata!D80,"")</f>
        <v>2639</v>
      </c>
      <c r="Q9" s="14">
        <f>IF($L$1=1,rawdata!E80,"")</f>
        <v>2737</v>
      </c>
      <c r="R9" s="14">
        <f>IF($L$1=1,rawdata!F80,"")</f>
        <v>98</v>
      </c>
      <c r="S9" s="14">
        <f>IF($L$1=1,rawdata!G80,"")</f>
        <v>3.7</v>
      </c>
    </row>
    <row r="10" spans="1:19" ht="12.75" customHeight="1" x14ac:dyDescent="0.25">
      <c r="B10" s="113" t="s">
        <v>21</v>
      </c>
      <c r="C10" s="114"/>
      <c r="D10" s="39">
        <f t="shared" si="1"/>
        <v>791</v>
      </c>
      <c r="E10" s="40">
        <f t="shared" si="0"/>
        <v>867</v>
      </c>
      <c r="F10" s="39">
        <f t="shared" si="0"/>
        <v>76</v>
      </c>
      <c r="G10" s="41">
        <f t="shared" si="0"/>
        <v>9.6</v>
      </c>
      <c r="J10" s="42"/>
      <c r="P10" s="14">
        <f>IF($L$1=1,rawdata!D81,"")</f>
        <v>791</v>
      </c>
      <c r="Q10" s="14">
        <f>IF($L$1=1,rawdata!E81,"")</f>
        <v>867</v>
      </c>
      <c r="R10" s="14">
        <f>IF($L$1=1,rawdata!F81,"")</f>
        <v>76</v>
      </c>
      <c r="S10" s="14">
        <f>IF($L$1=1,rawdata!G81,"")</f>
        <v>9.6</v>
      </c>
    </row>
    <row r="11" spans="1:19" ht="12.75" customHeight="1" x14ac:dyDescent="0.25">
      <c r="B11" s="113" t="s">
        <v>22</v>
      </c>
      <c r="C11" s="114"/>
      <c r="D11" s="39">
        <f t="shared" si="1"/>
        <v>1407</v>
      </c>
      <c r="E11" s="40">
        <f t="shared" si="0"/>
        <v>1541</v>
      </c>
      <c r="F11" s="39">
        <f t="shared" si="0"/>
        <v>134</v>
      </c>
      <c r="G11" s="41">
        <f t="shared" si="0"/>
        <v>9.5</v>
      </c>
      <c r="J11" s="42"/>
      <c r="P11" s="14">
        <f>IF($L$1=1,rawdata!D82,"")</f>
        <v>1407</v>
      </c>
      <c r="Q11" s="14">
        <f>IF($L$1=1,rawdata!E82,"")</f>
        <v>1541</v>
      </c>
      <c r="R11" s="14">
        <f>IF($L$1=1,rawdata!F82,"")</f>
        <v>134</v>
      </c>
      <c r="S11" s="14">
        <f>IF($L$1=1,rawdata!G82,"")</f>
        <v>9.5</v>
      </c>
    </row>
    <row r="12" spans="1:19" ht="12.75" customHeight="1" x14ac:dyDescent="0.25">
      <c r="B12" s="113" t="s">
        <v>33</v>
      </c>
      <c r="C12" s="114"/>
      <c r="D12" s="39">
        <f t="shared" si="1"/>
        <v>3706</v>
      </c>
      <c r="E12" s="40">
        <f t="shared" si="0"/>
        <v>3950</v>
      </c>
      <c r="F12" s="39">
        <f t="shared" si="0"/>
        <v>245</v>
      </c>
      <c r="G12" s="41">
        <f t="shared" si="0"/>
        <v>6.6</v>
      </c>
      <c r="J12" s="42"/>
      <c r="P12" s="14">
        <f>IF($L$1=1,rawdata!D83,"")</f>
        <v>3706</v>
      </c>
      <c r="Q12" s="14">
        <f>IF($L$1=1,rawdata!E83,"")</f>
        <v>3950</v>
      </c>
      <c r="R12" s="14">
        <f>IF($L$1=1,rawdata!F83,"")</f>
        <v>245</v>
      </c>
      <c r="S12" s="14">
        <f>IF($L$1=1,rawdata!G83,"")</f>
        <v>6.6</v>
      </c>
    </row>
    <row r="13" spans="1:19" ht="12.75" customHeight="1" x14ac:dyDescent="0.25">
      <c r="B13" s="113" t="s">
        <v>23</v>
      </c>
      <c r="C13" s="114"/>
      <c r="D13" s="39">
        <f t="shared" si="1"/>
        <v>17929</v>
      </c>
      <c r="E13" s="40">
        <f t="shared" si="0"/>
        <v>19189</v>
      </c>
      <c r="F13" s="39">
        <f t="shared" si="0"/>
        <v>1260</v>
      </c>
      <c r="G13" s="41">
        <f t="shared" si="0"/>
        <v>7</v>
      </c>
      <c r="J13" s="42"/>
      <c r="P13" s="14">
        <f>IF($L$1=1,rawdata!D84,"")</f>
        <v>17929</v>
      </c>
      <c r="Q13" s="14">
        <f>IF($L$1=1,rawdata!E84,"")</f>
        <v>19189</v>
      </c>
      <c r="R13" s="14">
        <f>IF($L$1=1,rawdata!F84,"")</f>
        <v>1260</v>
      </c>
      <c r="S13" s="14">
        <f>IF($L$1=1,rawdata!G84,"")</f>
        <v>7</v>
      </c>
    </row>
    <row r="14" spans="1:19" ht="12.75" customHeight="1" x14ac:dyDescent="0.25">
      <c r="B14" s="113" t="s">
        <v>42</v>
      </c>
      <c r="C14" s="114"/>
      <c r="D14" s="39">
        <f t="shared" si="1"/>
        <v>11462</v>
      </c>
      <c r="E14" s="40">
        <f t="shared" si="0"/>
        <v>12274</v>
      </c>
      <c r="F14" s="39">
        <f t="shared" si="0"/>
        <v>813</v>
      </c>
      <c r="G14" s="41">
        <f t="shared" si="0"/>
        <v>7.1</v>
      </c>
      <c r="J14" s="42"/>
      <c r="P14" s="14">
        <f>IF($L$1=1,rawdata!D85,"")</f>
        <v>11462</v>
      </c>
      <c r="Q14" s="14">
        <f>IF($L$1=1,rawdata!E85,"")</f>
        <v>12274</v>
      </c>
      <c r="R14" s="14">
        <f>IF($L$1=1,rawdata!F85,"")</f>
        <v>813</v>
      </c>
      <c r="S14" s="14">
        <f>IF($L$1=1,rawdata!G85,"")</f>
        <v>7.1</v>
      </c>
    </row>
    <row r="15" spans="1:19" ht="12.75" customHeight="1" x14ac:dyDescent="0.25">
      <c r="B15" s="113" t="s">
        <v>24</v>
      </c>
      <c r="C15" s="114"/>
      <c r="D15" s="39">
        <f t="shared" si="1"/>
        <v>8225</v>
      </c>
      <c r="E15" s="40">
        <f t="shared" si="0"/>
        <v>8769</v>
      </c>
      <c r="F15" s="39">
        <f t="shared" si="0"/>
        <v>544</v>
      </c>
      <c r="G15" s="41">
        <f t="shared" si="0"/>
        <v>6.6</v>
      </c>
      <c r="J15" s="42"/>
      <c r="P15" s="14">
        <f>IF($L$1=1,rawdata!D86,"")</f>
        <v>8225</v>
      </c>
      <c r="Q15" s="14">
        <f>IF($L$1=1,rawdata!E86,"")</f>
        <v>8769</v>
      </c>
      <c r="R15" s="14">
        <f>IF($L$1=1,rawdata!F86,"")</f>
        <v>544</v>
      </c>
      <c r="S15" s="14">
        <f>IF($L$1=1,rawdata!G86,"")</f>
        <v>6.6</v>
      </c>
    </row>
    <row r="16" spans="1:19" ht="12.75" customHeight="1" x14ac:dyDescent="0.25">
      <c r="B16" s="113" t="s">
        <v>25</v>
      </c>
      <c r="C16" s="114"/>
      <c r="D16" s="39">
        <f t="shared" si="1"/>
        <v>3237</v>
      </c>
      <c r="E16" s="40">
        <f t="shared" si="0"/>
        <v>3505</v>
      </c>
      <c r="F16" s="39">
        <f t="shared" si="0"/>
        <v>268</v>
      </c>
      <c r="G16" s="41">
        <f t="shared" si="0"/>
        <v>8.3000000000000007</v>
      </c>
      <c r="J16" s="42"/>
      <c r="P16" s="14">
        <f>IF($L$1=1,rawdata!D87,"")</f>
        <v>3237</v>
      </c>
      <c r="Q16" s="14">
        <f>IF($L$1=1,rawdata!E87,"")</f>
        <v>3505</v>
      </c>
      <c r="R16" s="14">
        <f>IF($L$1=1,rawdata!F87,"")</f>
        <v>268</v>
      </c>
      <c r="S16" s="14">
        <f>IF($L$1=1,rawdata!G87,"")</f>
        <v>8.3000000000000007</v>
      </c>
    </row>
    <row r="17" spans="2:19" ht="12.75" customHeight="1" x14ac:dyDescent="0.25">
      <c r="B17" s="113" t="s">
        <v>26</v>
      </c>
      <c r="C17" s="114"/>
      <c r="D17" s="39">
        <f t="shared" si="1"/>
        <v>6468</v>
      </c>
      <c r="E17" s="40">
        <f t="shared" si="0"/>
        <v>6915</v>
      </c>
      <c r="F17" s="39">
        <f t="shared" si="0"/>
        <v>447</v>
      </c>
      <c r="G17" s="41">
        <f t="shared" si="0"/>
        <v>6.9</v>
      </c>
      <c r="J17" s="42"/>
      <c r="P17" s="14">
        <f>IF($L$1=1,rawdata!D88,"")</f>
        <v>6468</v>
      </c>
      <c r="Q17" s="14">
        <f>IF($L$1=1,rawdata!E88,"")</f>
        <v>6915</v>
      </c>
      <c r="R17" s="14">
        <f>IF($L$1=1,rawdata!F88,"")</f>
        <v>447</v>
      </c>
      <c r="S17" s="14">
        <f>IF($L$1=1,rawdata!G88,"")</f>
        <v>6.9</v>
      </c>
    </row>
    <row r="18" spans="2:19" ht="12.75" customHeight="1" x14ac:dyDescent="0.25">
      <c r="B18" s="113" t="s">
        <v>24</v>
      </c>
      <c r="C18" s="114"/>
      <c r="D18" s="39">
        <f t="shared" si="1"/>
        <v>5594</v>
      </c>
      <c r="E18" s="40">
        <f t="shared" si="0"/>
        <v>6008</v>
      </c>
      <c r="F18" s="39">
        <f t="shared" si="0"/>
        <v>413</v>
      </c>
      <c r="G18" s="41">
        <f t="shared" si="0"/>
        <v>7.4</v>
      </c>
      <c r="J18" s="42"/>
      <c r="P18" s="14">
        <f>IF($L$1=1,rawdata!D89,"")</f>
        <v>5594</v>
      </c>
      <c r="Q18" s="14">
        <f>IF($L$1=1,rawdata!E89,"")</f>
        <v>6008</v>
      </c>
      <c r="R18" s="14">
        <f>IF($L$1=1,rawdata!F89,"")</f>
        <v>413</v>
      </c>
      <c r="S18" s="14">
        <f>IF($L$1=1,rawdata!G89,"")</f>
        <v>7.4</v>
      </c>
    </row>
    <row r="19" spans="2:19" ht="12.75" customHeight="1" x14ac:dyDescent="0.25">
      <c r="B19" s="113" t="s">
        <v>25</v>
      </c>
      <c r="C19" s="114"/>
      <c r="D19" s="39">
        <f t="shared" si="1"/>
        <v>873</v>
      </c>
      <c r="E19" s="40">
        <f t="shared" si="0"/>
        <v>907</v>
      </c>
      <c r="F19" s="39">
        <f t="shared" si="0"/>
        <v>34</v>
      </c>
      <c r="G19" s="41">
        <f t="shared" si="0"/>
        <v>3.9</v>
      </c>
      <c r="J19" s="42"/>
      <c r="P19" s="14">
        <f>IF($L$1=1,rawdata!D90,"")</f>
        <v>873</v>
      </c>
      <c r="Q19" s="14">
        <f>IF($L$1=1,rawdata!E90,"")</f>
        <v>907</v>
      </c>
      <c r="R19" s="14">
        <f>IF($L$1=1,rawdata!F90,"")</f>
        <v>34</v>
      </c>
      <c r="S19" s="14">
        <f>IF($L$1=1,rawdata!G90,"")</f>
        <v>3.9</v>
      </c>
    </row>
    <row r="20" spans="2:19" ht="12.75" customHeight="1" x14ac:dyDescent="0.25">
      <c r="B20" s="115" t="s">
        <v>27</v>
      </c>
      <c r="C20" s="116"/>
      <c r="D20" s="78">
        <f t="shared" si="1"/>
        <v>80380</v>
      </c>
      <c r="E20" s="79">
        <f t="shared" si="0"/>
        <v>86794</v>
      </c>
      <c r="F20" s="78">
        <f t="shared" si="0"/>
        <v>6414</v>
      </c>
      <c r="G20" s="80">
        <f t="shared" si="0"/>
        <v>8</v>
      </c>
      <c r="J20" s="42"/>
      <c r="P20" s="14">
        <f>IF($L$1=1,rawdata!D91,"")</f>
        <v>80380</v>
      </c>
      <c r="Q20" s="14">
        <f>IF($L$1=1,rawdata!E91,"")</f>
        <v>86794</v>
      </c>
      <c r="R20" s="14">
        <f>IF($L$1=1,rawdata!F91,"")</f>
        <v>6414</v>
      </c>
      <c r="S20" s="14">
        <f>IF($L$1=1,rawdata!G91,"")</f>
        <v>8</v>
      </c>
    </row>
    <row r="21" spans="2:19" ht="15" customHeight="1" x14ac:dyDescent="0.2"/>
    <row r="22" spans="2:19" ht="71.25" customHeight="1" x14ac:dyDescent="0.2">
      <c r="B22" s="101" t="str">
        <f>"*Includes Practice Plan, Network Affiliation, and Other Medical Service Organization Funds. Practice Plan revenues from affiliated hospitals are 
   reported with Hospital Purchased Services &amp; Support: $"&amp;M6&amp;" million total revenue (FY "&amp;REPyear1&amp;") and $"&amp;M7&amp;" million total revenue (FY "&amp;REPFY1&amp;").
†Includes Sales and Services, Royalties, Consulting, Interest Income, Gains (Losses) on Investments, Leases/Rentals, and Other Miscellaneous "&amp;"
   Revenues.
Totals may not sum due to rounding."</f>
        <v>*Includes Practice Plan, Network Affiliation, and Other Medical Service Organization Funds. Practice Plan revenues from affiliated hospitals are 
   reported with Hospital Purchased Services &amp; Support: $9,191 million total revenue (FY 2023) and $7,978 million total revenue (FY 2022).
†Includes Sales and Services, Royalties, Consulting, Interest Income, Gains (Losses) on Investments, Leases/Rentals, and Other Miscellaneous 
   Revenues.
Totals may not sum due to rounding.</v>
      </c>
      <c r="C22" s="101"/>
      <c r="D22" s="101"/>
      <c r="E22" s="101"/>
      <c r="F22" s="101"/>
      <c r="G22" s="101"/>
    </row>
    <row r="23" spans="2:19" ht="71.25" customHeight="1" x14ac:dyDescent="0.2">
      <c r="B23" s="101" t="str">
        <f>"There were "&amp;M8&amp;N8&amp;" in FY "&amp;REPyear1&amp;". "&amp;N9&amp;" 
In order to maintain the confidentiality of medical schools in breakouts with fewer than five medical schools, summary tables including public
   medical school and private "&amp;"medical school details only show data from medical education programs with full LCME accreditation. "</f>
        <v xml:space="preserve">There were 91 U.S. MD-granting public medical education programs with full LCME accreditation in FY 2023. This table includes historical data from
   U.S MD-granting public medical education programs prior to their receiving full LCME accreditation in FY 2023. 
In order to maintain the confidentiality of medical schools in breakouts with fewer than five medical schools, summary tables including public
   medical school and private medical school details only show data from medical education programs with full LCME accreditation. </v>
      </c>
      <c r="C23" s="101"/>
      <c r="D23" s="101"/>
      <c r="E23" s="101"/>
      <c r="F23" s="101"/>
      <c r="G23" s="101"/>
    </row>
    <row r="24" spans="2:19" x14ac:dyDescent="0.2">
      <c r="B24" s="63"/>
      <c r="C24" s="63"/>
      <c r="D24" s="63"/>
      <c r="E24" s="63"/>
      <c r="F24" s="63"/>
      <c r="G24" s="63"/>
    </row>
    <row r="25" spans="2:19" x14ac:dyDescent="0.2">
      <c r="B25" s="98" t="str">
        <f>"Source: "&amp;ReportSource&amp;" Prepared by the AAMC "&amp;ReportDate&amp;UpdatedDate</f>
        <v>Source: LCME Part I-A Annual Medical School Financial Questionnaire (AFQ), FY 2023. Prepared by the AAMC June 2024.</v>
      </c>
      <c r="C25" s="98"/>
      <c r="D25" s="98"/>
      <c r="E25" s="98"/>
      <c r="F25" s="98"/>
      <c r="G25" s="66"/>
      <c r="H25" s="64"/>
      <c r="I25" s="64"/>
      <c r="J25" s="64"/>
    </row>
    <row r="26" spans="2:19" x14ac:dyDescent="0.2">
      <c r="B26" s="98" t="s">
        <v>103</v>
      </c>
      <c r="C26" s="98"/>
      <c r="D26" s="64"/>
      <c r="E26" s="64"/>
      <c r="F26" s="64"/>
      <c r="G26" s="64"/>
      <c r="H26" s="43"/>
      <c r="I26" s="43"/>
      <c r="J26" s="43"/>
    </row>
    <row r="27" spans="2:19" x14ac:dyDescent="0.2">
      <c r="B27" s="98" t="str">
        <f>Copyright</f>
        <v>©2024 Association of American Medical Colleges. All rights reserved.</v>
      </c>
      <c r="C27" s="98"/>
      <c r="D27" s="98"/>
      <c r="E27" s="64"/>
      <c r="F27" s="64"/>
      <c r="G27" s="64"/>
      <c r="H27" s="43"/>
      <c r="I27" s="43"/>
      <c r="J27" s="43"/>
    </row>
    <row r="28" spans="2:19" x14ac:dyDescent="0.2"/>
    <row r="29" spans="2:19" x14ac:dyDescent="0.2"/>
    <row r="30" spans="2:19" x14ac:dyDescent="0.2"/>
  </sheetData>
  <sheetProtection algorithmName="SHA-512" hashValue="vJcdvhPHTuu2bc1zLhOkURObNZ0ZNCdLRFIGa4JE+Xv/m/ut2VMDlMLVqQapkBTAXa+SE6Xef9GsK6h5bppRgQ==" saltValue="CtRyBxYDmzeJ4AioUPuxKg==" spinCount="100000" sheet="1" objects="1" scenarios="1"/>
  <mergeCells count="25">
    <mergeCell ref="B27:D27"/>
    <mergeCell ref="A1:B2"/>
    <mergeCell ref="B20:C20"/>
    <mergeCell ref="B5:C5"/>
    <mergeCell ref="B23:G23"/>
    <mergeCell ref="C1:G1"/>
    <mergeCell ref="C2:G2"/>
    <mergeCell ref="B25:F25"/>
    <mergeCell ref="B26:C26"/>
    <mergeCell ref="B22:G22"/>
    <mergeCell ref="B8:C8"/>
    <mergeCell ref="B7:C7"/>
    <mergeCell ref="B6:C6"/>
    <mergeCell ref="B19:C19"/>
    <mergeCell ref="B13:C13"/>
    <mergeCell ref="B12:C12"/>
    <mergeCell ref="B4:G4"/>
    <mergeCell ref="B11:C11"/>
    <mergeCell ref="B10:C10"/>
    <mergeCell ref="B9:C9"/>
    <mergeCell ref="B18:C18"/>
    <mergeCell ref="B17:C17"/>
    <mergeCell ref="B16:C16"/>
    <mergeCell ref="B15:C15"/>
    <mergeCell ref="B14:C14"/>
  </mergeCells>
  <conditionalFormatting sqref="B6:G19">
    <cfRule type="expression" dxfId="9" priority="3">
      <formula>MOD(ROW(),2)=0</formula>
    </cfRule>
  </conditionalFormatting>
  <conditionalFormatting sqref="D5:G19">
    <cfRule type="expression" dxfId="8" priority="2">
      <formula>MOD(COLUMN(),2)=0</formula>
    </cfRule>
  </conditionalFormatting>
  <hyperlinks>
    <hyperlink ref="B26:C26" r:id="rId1" display="Contact: AFQ@aamc.org" xr:uid="{F0F4F96D-EEE3-464B-9254-89987358FB25}"/>
  </hyperlinks>
  <printOptions horizontalCentered="1"/>
  <pageMargins left="0.75" right="0.75" top="1" bottom="1" header="0.5" footer="0.5"/>
  <pageSetup scale="86" orientation="landscape" r:id="rId2"/>
  <headerFooter alignWithMargins="0"/>
  <ignoredErrors>
    <ignoredError sqref="B4" unlockedFormula="1"/>
  </ignoredError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3F5EE-4EA9-4EAB-AE11-CB56CECC8DDE}">
  <sheetPr codeName="Sheet5">
    <pageSetUpPr autoPageBreaks="0"/>
  </sheetPr>
  <dimension ref="A1:S30"/>
  <sheetViews>
    <sheetView showGridLines="0" zoomScaleNormal="100" workbookViewId="0">
      <selection sqref="A1:B2"/>
    </sheetView>
  </sheetViews>
  <sheetFormatPr defaultColWidth="0" defaultRowHeight="12.75" zeroHeight="1" x14ac:dyDescent="0.2"/>
  <cols>
    <col min="1" max="1" width="1.42578125" style="14" customWidth="1"/>
    <col min="2" max="2" width="7.42578125" style="14" customWidth="1"/>
    <col min="3" max="3" width="45" style="14" customWidth="1"/>
    <col min="4" max="4" width="15.28515625" style="29" customWidth="1"/>
    <col min="5" max="5" width="15.28515625" style="30" customWidth="1"/>
    <col min="6" max="6" width="15.28515625" style="14" customWidth="1"/>
    <col min="7" max="7" width="12.5703125" style="31" customWidth="1"/>
    <col min="8" max="8" width="2.85546875" style="14" customWidth="1"/>
    <col min="9" max="9" width="1.42578125" style="14" customWidth="1"/>
    <col min="10" max="10" width="6.5703125" style="14" hidden="1" customWidth="1"/>
    <col min="11" max="16384" width="9.140625" style="14" hidden="1"/>
  </cols>
  <sheetData>
    <row r="1" spans="1:19" ht="19.5" customHeight="1" x14ac:dyDescent="0.25">
      <c r="A1" s="88" t="str">
        <f ca="1">"TABLE"&amp;CHAR(10)&amp;VLOOKUP(MID(CELL("filename",A1),FIND("]",CELL("filename",A1))+1,255),CHOOSE({2,1},ref!A21:A33,ref!B21:B33),2,0)</f>
        <v>TABLE
5</v>
      </c>
      <c r="B1" s="88"/>
      <c r="C1" s="89" t="str">
        <f>ref!C26</f>
        <v>Percent Change in All Revenue at Private U.S. Medical Schools, FY 2022 vs. FY 2023 ($ in Millions)</v>
      </c>
      <c r="D1" s="89"/>
      <c r="E1" s="89"/>
      <c r="F1" s="89"/>
      <c r="G1" s="89"/>
      <c r="L1" s="71">
        <v>1</v>
      </c>
    </row>
    <row r="2" spans="1:19" ht="15" customHeight="1" x14ac:dyDescent="0.25">
      <c r="A2" s="88"/>
      <c r="B2" s="88"/>
      <c r="C2" s="89" t="str">
        <f>L2</f>
        <v>U.S. MD-Granting Medical Education Programs with Full LCME Accreditation</v>
      </c>
      <c r="D2" s="89"/>
      <c r="E2" s="89"/>
      <c r="F2" s="89"/>
      <c r="G2" s="89"/>
      <c r="L2" s="71" t="str">
        <f>VLOOKUP((L1-1),ref!F2:G3,2,FALSE)</f>
        <v>U.S. MD-Granting Medical Education Programs with Full LCME Accreditation</v>
      </c>
    </row>
    <row r="3" spans="1:19" ht="12.75" customHeight="1" x14ac:dyDescent="0.25">
      <c r="E3" s="37"/>
    </row>
    <row r="4" spans="1:19" ht="12.75" customHeight="1" x14ac:dyDescent="0.2">
      <c r="B4" s="102" t="str">
        <f>VLOOKUP((L1-1),ref!F2:G3,2,FALSE)</f>
        <v>U.S. MD-Granting Medical Education Programs with Full LCME Accreditation</v>
      </c>
      <c r="C4" s="103"/>
      <c r="D4" s="103"/>
      <c r="E4" s="103"/>
      <c r="F4" s="103"/>
      <c r="G4" s="104"/>
    </row>
    <row r="5" spans="1:19" s="36" customFormat="1" ht="27" customHeight="1" x14ac:dyDescent="0.2">
      <c r="B5" s="92" t="s">
        <v>12</v>
      </c>
      <c r="C5" s="93"/>
      <c r="D5" s="20" t="str">
        <f>"FY "&amp;REPFY1&amp;"
All Revenue"</f>
        <v>FY 2022
All Revenue</v>
      </c>
      <c r="E5" s="20" t="str">
        <f>"FY "&amp;REPyear1&amp;"
All Revenue"</f>
        <v>FY 2023
All Revenue</v>
      </c>
      <c r="F5" s="38" t="s">
        <v>29</v>
      </c>
      <c r="G5" s="38" t="s">
        <v>30</v>
      </c>
      <c r="J5" s="47"/>
    </row>
    <row r="6" spans="1:19" ht="12.75" customHeight="1" x14ac:dyDescent="0.25">
      <c r="B6" s="113" t="s">
        <v>17</v>
      </c>
      <c r="C6" s="114"/>
      <c r="D6" s="39">
        <f>P6</f>
        <v>46347</v>
      </c>
      <c r="E6" s="40">
        <f t="shared" ref="E6:G20" si="0">Q6</f>
        <v>50065</v>
      </c>
      <c r="F6" s="39">
        <f t="shared" si="0"/>
        <v>3718</v>
      </c>
      <c r="G6" s="41">
        <f t="shared" si="0"/>
        <v>8</v>
      </c>
      <c r="J6" s="42"/>
      <c r="L6" s="14" t="str">
        <f>IF($L$1=1,keywords!B26,keywords!#REF!)</f>
        <v>&lt;tab5_txt1&gt;</v>
      </c>
      <c r="M6" s="14" t="str">
        <f>VLOOKUP($L6,keywords!B2:$C$52,2,FALSE)</f>
        <v>6,962</v>
      </c>
      <c r="P6" s="14">
        <f>IF($L$1=1,rawdata!D92,"")</f>
        <v>46347</v>
      </c>
      <c r="Q6" s="14">
        <f>IF($L$1=1,rawdata!E92,"")</f>
        <v>50065</v>
      </c>
      <c r="R6" s="14">
        <f>IF($L$1=1,rawdata!F92,"")</f>
        <v>3718</v>
      </c>
      <c r="S6" s="14">
        <f>IF($L$1=1,rawdata!G92,"")</f>
        <v>8</v>
      </c>
    </row>
    <row r="7" spans="1:19" ht="12.75" customHeight="1" x14ac:dyDescent="0.25">
      <c r="B7" s="113" t="s">
        <v>18</v>
      </c>
      <c r="C7" s="114"/>
      <c r="D7" s="39">
        <f t="shared" ref="D7:D20" si="1">P7</f>
        <v>17638</v>
      </c>
      <c r="E7" s="40">
        <f t="shared" si="0"/>
        <v>18960</v>
      </c>
      <c r="F7" s="39">
        <f t="shared" si="0"/>
        <v>1322</v>
      </c>
      <c r="G7" s="41">
        <f t="shared" si="0"/>
        <v>7.5</v>
      </c>
      <c r="J7" s="42"/>
      <c r="L7" s="14" t="str">
        <f>IF($L$1=1,keywords!B27,keywords!#REF!)</f>
        <v>&lt;tab5_txt2&gt;</v>
      </c>
      <c r="M7" s="14" t="str">
        <f>VLOOKUP($L7,keywords!B3:$C$52,2,FALSE)</f>
        <v>6,326</v>
      </c>
      <c r="P7" s="14">
        <f>IF($L$1=1,rawdata!D93,"")</f>
        <v>17638</v>
      </c>
      <c r="Q7" s="14">
        <f>IF($L$1=1,rawdata!E93,"")</f>
        <v>18960</v>
      </c>
      <c r="R7" s="14">
        <f>IF($L$1=1,rawdata!F93,"")</f>
        <v>1322</v>
      </c>
      <c r="S7" s="14">
        <f>IF($L$1=1,rawdata!G93,"")</f>
        <v>7.5</v>
      </c>
    </row>
    <row r="8" spans="1:19" ht="12.75" customHeight="1" x14ac:dyDescent="0.25">
      <c r="B8" s="113" t="s">
        <v>19</v>
      </c>
      <c r="C8" s="114"/>
      <c r="D8" s="39">
        <f t="shared" si="1"/>
        <v>824</v>
      </c>
      <c r="E8" s="40">
        <f t="shared" si="0"/>
        <v>722</v>
      </c>
      <c r="F8" s="39">
        <f t="shared" si="0"/>
        <v>-102</v>
      </c>
      <c r="G8" s="41">
        <f t="shared" si="0"/>
        <v>-12.4</v>
      </c>
      <c r="J8" s="42"/>
      <c r="L8" s="14" t="str">
        <f>IF($L$1=1,keywords!B28,keywords!#REF!)</f>
        <v>&lt;tab5_txt3&gt;</v>
      </c>
      <c r="M8" s="14" t="str">
        <f>VLOOKUP($L8,keywords!B4:$C$52,2,FALSE)</f>
        <v>59</v>
      </c>
      <c r="N8" s="14" t="str">
        <f>IF($L$1=1, " U.S. MD-granting private medical education programs with full LCME accreditation"," U.S. MD-granting private medical education programs with preliminary, provisional, or full LCME accreditation")</f>
        <v xml:space="preserve"> U.S. MD-granting private medical education programs with full LCME accreditation</v>
      </c>
      <c r="P8" s="14">
        <f>IF($L$1=1,rawdata!D94,"")</f>
        <v>824</v>
      </c>
      <c r="Q8" s="14">
        <f>IF($L$1=1,rawdata!E94,"")</f>
        <v>722</v>
      </c>
      <c r="R8" s="14">
        <f>IF($L$1=1,rawdata!F94,"")</f>
        <v>-102</v>
      </c>
      <c r="S8" s="14">
        <f>IF($L$1=1,rawdata!G94,"")</f>
        <v>-12.4</v>
      </c>
    </row>
    <row r="9" spans="1:19" ht="12.75" customHeight="1" x14ac:dyDescent="0.25">
      <c r="B9" s="113" t="s">
        <v>20</v>
      </c>
      <c r="C9" s="114"/>
      <c r="D9" s="39">
        <f t="shared" si="1"/>
        <v>3202</v>
      </c>
      <c r="E9" s="40">
        <f t="shared" si="0"/>
        <v>3361</v>
      </c>
      <c r="F9" s="39">
        <f t="shared" si="0"/>
        <v>158</v>
      </c>
      <c r="G9" s="41">
        <f t="shared" si="0"/>
        <v>4.9000000000000004</v>
      </c>
      <c r="J9" s="42"/>
      <c r="N9" s="14" t="str">
        <f>IF($L$1=1, "This table includes historical data 
   from U.S. MD-granting private medical education programs prior to their receiving full LCME accreditation in FY "&amp;REPyear1&amp;".","")</f>
        <v>This table includes historical data 
   from U.S. MD-granting private medical education programs prior to their receiving full LCME accreditation in FY 2023.</v>
      </c>
      <c r="P9" s="14">
        <f>IF($L$1=1,rawdata!D95,"")</f>
        <v>3202</v>
      </c>
      <c r="Q9" s="14">
        <f>IF($L$1=1,rawdata!E95,"")</f>
        <v>3361</v>
      </c>
      <c r="R9" s="14">
        <f>IF($L$1=1,rawdata!F95,"")</f>
        <v>158</v>
      </c>
      <c r="S9" s="14">
        <f>IF($L$1=1,rawdata!G95,"")</f>
        <v>4.9000000000000004</v>
      </c>
    </row>
    <row r="10" spans="1:19" ht="12.75" customHeight="1" x14ac:dyDescent="0.25">
      <c r="B10" s="113" t="s">
        <v>21</v>
      </c>
      <c r="C10" s="114"/>
      <c r="D10" s="39">
        <f t="shared" si="1"/>
        <v>2012</v>
      </c>
      <c r="E10" s="40">
        <f t="shared" si="0"/>
        <v>2260</v>
      </c>
      <c r="F10" s="39">
        <f t="shared" si="0"/>
        <v>248</v>
      </c>
      <c r="G10" s="41">
        <f t="shared" si="0"/>
        <v>12.4</v>
      </c>
      <c r="J10" s="42"/>
      <c r="P10" s="14">
        <f>IF($L$1=1,rawdata!D96,"")</f>
        <v>2012</v>
      </c>
      <c r="Q10" s="14">
        <f>IF($L$1=1,rawdata!E96,"")</f>
        <v>2260</v>
      </c>
      <c r="R10" s="14">
        <f>IF($L$1=1,rawdata!F96,"")</f>
        <v>248</v>
      </c>
      <c r="S10" s="14">
        <f>IF($L$1=1,rawdata!G96,"")</f>
        <v>12.4</v>
      </c>
    </row>
    <row r="11" spans="1:19" ht="12.75" customHeight="1" x14ac:dyDescent="0.25">
      <c r="B11" s="113" t="s">
        <v>22</v>
      </c>
      <c r="C11" s="114"/>
      <c r="D11" s="39">
        <f t="shared" si="1"/>
        <v>1552</v>
      </c>
      <c r="E11" s="40">
        <f t="shared" si="0"/>
        <v>1754</v>
      </c>
      <c r="F11" s="39">
        <f t="shared" si="0"/>
        <v>203</v>
      </c>
      <c r="G11" s="41">
        <f t="shared" si="0"/>
        <v>13</v>
      </c>
      <c r="J11" s="42"/>
      <c r="P11" s="14">
        <f>IF($L$1=1,rawdata!D97,"")</f>
        <v>1552</v>
      </c>
      <c r="Q11" s="14">
        <f>IF($L$1=1,rawdata!E97,"")</f>
        <v>1754</v>
      </c>
      <c r="R11" s="14">
        <f>IF($L$1=1,rawdata!F97,"")</f>
        <v>203</v>
      </c>
      <c r="S11" s="14">
        <f>IF($L$1=1,rawdata!G97,"")</f>
        <v>13</v>
      </c>
    </row>
    <row r="12" spans="1:19" ht="12.75" customHeight="1" x14ac:dyDescent="0.25">
      <c r="B12" s="113" t="s">
        <v>33</v>
      </c>
      <c r="C12" s="114"/>
      <c r="D12" s="39">
        <f t="shared" si="1"/>
        <v>3000</v>
      </c>
      <c r="E12" s="40">
        <f t="shared" si="0"/>
        <v>3000</v>
      </c>
      <c r="F12" s="39">
        <f t="shared" si="0"/>
        <v>0</v>
      </c>
      <c r="G12" s="41">
        <f t="shared" si="0"/>
        <v>0</v>
      </c>
      <c r="J12" s="42"/>
      <c r="P12" s="14">
        <f>IF($L$1=1,rawdata!D98,"")</f>
        <v>3000</v>
      </c>
      <c r="Q12" s="14">
        <f>IF($L$1=1,rawdata!E98,"")</f>
        <v>3000</v>
      </c>
      <c r="R12" s="14">
        <f>IF($L$1=1,rawdata!F98,"")</f>
        <v>0</v>
      </c>
      <c r="S12" s="14">
        <f>IF($L$1=1,rawdata!G98,"")</f>
        <v>0</v>
      </c>
    </row>
    <row r="13" spans="1:19" ht="12.75" customHeight="1" x14ac:dyDescent="0.25">
      <c r="B13" s="113" t="s">
        <v>23</v>
      </c>
      <c r="C13" s="114"/>
      <c r="D13" s="39">
        <f t="shared" si="1"/>
        <v>25504</v>
      </c>
      <c r="E13" s="40">
        <f t="shared" si="0"/>
        <v>25131</v>
      </c>
      <c r="F13" s="39">
        <f t="shared" si="0"/>
        <v>-373</v>
      </c>
      <c r="G13" s="41">
        <f t="shared" si="0"/>
        <v>-1.5</v>
      </c>
      <c r="J13" s="42"/>
      <c r="P13" s="14">
        <f>IF($L$1=1,rawdata!D99,"")</f>
        <v>25504</v>
      </c>
      <c r="Q13" s="14">
        <f>IF($L$1=1,rawdata!E99,"")</f>
        <v>25131</v>
      </c>
      <c r="R13" s="14">
        <f>IF($L$1=1,rawdata!F99,"")</f>
        <v>-373</v>
      </c>
      <c r="S13" s="14">
        <f>IF($L$1=1,rawdata!G99,"")</f>
        <v>-1.5</v>
      </c>
    </row>
    <row r="14" spans="1:19" ht="12.75" customHeight="1" x14ac:dyDescent="0.25">
      <c r="B14" s="113" t="s">
        <v>42</v>
      </c>
      <c r="C14" s="114"/>
      <c r="D14" s="39">
        <f t="shared" si="1"/>
        <v>14544</v>
      </c>
      <c r="E14" s="40">
        <f t="shared" si="0"/>
        <v>15997</v>
      </c>
      <c r="F14" s="39">
        <f t="shared" si="0"/>
        <v>1452</v>
      </c>
      <c r="G14" s="41">
        <f t="shared" si="0"/>
        <v>10</v>
      </c>
      <c r="J14" s="42"/>
      <c r="P14" s="14">
        <f>IF($L$1=1,rawdata!D100,"")</f>
        <v>14544</v>
      </c>
      <c r="Q14" s="14">
        <f>IF($L$1=1,rawdata!E100,"")</f>
        <v>15997</v>
      </c>
      <c r="R14" s="14">
        <f>IF($L$1=1,rawdata!F100,"")</f>
        <v>1452</v>
      </c>
      <c r="S14" s="14">
        <f>IF($L$1=1,rawdata!G100,"")</f>
        <v>10</v>
      </c>
    </row>
    <row r="15" spans="1:19" ht="12.75" customHeight="1" x14ac:dyDescent="0.25">
      <c r="B15" s="113" t="s">
        <v>24</v>
      </c>
      <c r="C15" s="114"/>
      <c r="D15" s="39">
        <f t="shared" si="1"/>
        <v>10247</v>
      </c>
      <c r="E15" s="40">
        <f t="shared" si="0"/>
        <v>11322</v>
      </c>
      <c r="F15" s="39">
        <f t="shared" si="0"/>
        <v>1075</v>
      </c>
      <c r="G15" s="41">
        <f t="shared" si="0"/>
        <v>10.5</v>
      </c>
      <c r="J15" s="42"/>
      <c r="P15" s="14">
        <f>IF($L$1=1,rawdata!D101,"")</f>
        <v>10247</v>
      </c>
      <c r="Q15" s="14">
        <f>IF($L$1=1,rawdata!E101,"")</f>
        <v>11322</v>
      </c>
      <c r="R15" s="14">
        <f>IF($L$1=1,rawdata!F101,"")</f>
        <v>1075</v>
      </c>
      <c r="S15" s="14">
        <f>IF($L$1=1,rawdata!G101,"")</f>
        <v>10.5</v>
      </c>
    </row>
    <row r="16" spans="1:19" ht="12.75" customHeight="1" x14ac:dyDescent="0.25">
      <c r="B16" s="113" t="s">
        <v>25</v>
      </c>
      <c r="C16" s="114"/>
      <c r="D16" s="39">
        <f t="shared" si="1"/>
        <v>4298</v>
      </c>
      <c r="E16" s="40">
        <f t="shared" si="0"/>
        <v>4675</v>
      </c>
      <c r="F16" s="39">
        <f t="shared" si="0"/>
        <v>378</v>
      </c>
      <c r="G16" s="41">
        <f t="shared" si="0"/>
        <v>8.8000000000000007</v>
      </c>
      <c r="J16" s="42"/>
      <c r="P16" s="14">
        <f>IF($L$1=1,rawdata!D102,"")</f>
        <v>4298</v>
      </c>
      <c r="Q16" s="14">
        <f>IF($L$1=1,rawdata!E102,"")</f>
        <v>4675</v>
      </c>
      <c r="R16" s="14">
        <f>IF($L$1=1,rawdata!F102,"")</f>
        <v>378</v>
      </c>
      <c r="S16" s="14">
        <f>IF($L$1=1,rawdata!G102,"")</f>
        <v>8.8000000000000007</v>
      </c>
    </row>
    <row r="17" spans="2:19" ht="12.75" customHeight="1" x14ac:dyDescent="0.25">
      <c r="B17" s="113" t="s">
        <v>26</v>
      </c>
      <c r="C17" s="114"/>
      <c r="D17" s="39">
        <f t="shared" si="1"/>
        <v>10960</v>
      </c>
      <c r="E17" s="40">
        <f t="shared" si="0"/>
        <v>9134</v>
      </c>
      <c r="F17" s="39">
        <f t="shared" si="0"/>
        <v>-1826</v>
      </c>
      <c r="G17" s="41">
        <f t="shared" si="0"/>
        <v>-16.7</v>
      </c>
      <c r="J17" s="42"/>
      <c r="P17" s="14">
        <f>IF($L$1=1,rawdata!D103,"")</f>
        <v>10960</v>
      </c>
      <c r="Q17" s="14">
        <f>IF($L$1=1,rawdata!E103,"")</f>
        <v>9134</v>
      </c>
      <c r="R17" s="14">
        <f>IF($L$1=1,rawdata!F103,"")</f>
        <v>-1826</v>
      </c>
      <c r="S17" s="14">
        <f>IF($L$1=1,rawdata!G103,"")</f>
        <v>-16.7</v>
      </c>
    </row>
    <row r="18" spans="2:19" ht="12.75" customHeight="1" x14ac:dyDescent="0.25">
      <c r="B18" s="113" t="s">
        <v>24</v>
      </c>
      <c r="C18" s="114"/>
      <c r="D18" s="39">
        <f t="shared" si="1"/>
        <v>9502</v>
      </c>
      <c r="E18" s="40">
        <f t="shared" si="0"/>
        <v>7581</v>
      </c>
      <c r="F18" s="39">
        <f t="shared" si="0"/>
        <v>-1920</v>
      </c>
      <c r="G18" s="41">
        <f t="shared" si="0"/>
        <v>-20.2</v>
      </c>
      <c r="J18" s="42"/>
      <c r="P18" s="14">
        <f>IF($L$1=1,rawdata!D104,"")</f>
        <v>9502</v>
      </c>
      <c r="Q18" s="14">
        <f>IF($L$1=1,rawdata!E104,"")</f>
        <v>7581</v>
      </c>
      <c r="R18" s="14">
        <f>IF($L$1=1,rawdata!F104,"")</f>
        <v>-1920</v>
      </c>
      <c r="S18" s="14">
        <f>IF($L$1=1,rawdata!G104,"")</f>
        <v>-20.2</v>
      </c>
    </row>
    <row r="19" spans="2:19" ht="12.75" customHeight="1" x14ac:dyDescent="0.25">
      <c r="B19" s="113" t="s">
        <v>25</v>
      </c>
      <c r="C19" s="114"/>
      <c r="D19" s="39">
        <f t="shared" si="1"/>
        <v>1458</v>
      </c>
      <c r="E19" s="40">
        <f t="shared" si="0"/>
        <v>1553</v>
      </c>
      <c r="F19" s="39">
        <f t="shared" si="0"/>
        <v>95</v>
      </c>
      <c r="G19" s="41">
        <f t="shared" si="0"/>
        <v>6.5</v>
      </c>
      <c r="J19" s="42"/>
      <c r="P19" s="14">
        <f>IF($L$1=1,rawdata!D105,"")</f>
        <v>1458</v>
      </c>
      <c r="Q19" s="14">
        <f>IF($L$1=1,rawdata!E105,"")</f>
        <v>1553</v>
      </c>
      <c r="R19" s="14">
        <f>IF($L$1=1,rawdata!F105,"")</f>
        <v>95</v>
      </c>
      <c r="S19" s="14">
        <f>IF($L$1=1,rawdata!G105,"")</f>
        <v>6.5</v>
      </c>
    </row>
    <row r="20" spans="2:19" ht="12.75" customHeight="1" x14ac:dyDescent="0.25">
      <c r="B20" s="115" t="s">
        <v>27</v>
      </c>
      <c r="C20" s="116"/>
      <c r="D20" s="78">
        <f t="shared" si="1"/>
        <v>100079</v>
      </c>
      <c r="E20" s="79">
        <f t="shared" si="0"/>
        <v>105253</v>
      </c>
      <c r="F20" s="78">
        <f t="shared" si="0"/>
        <v>5174</v>
      </c>
      <c r="G20" s="80">
        <f t="shared" si="0"/>
        <v>5.2</v>
      </c>
      <c r="J20" s="42"/>
      <c r="P20" s="14">
        <f>IF($L$1=1,rawdata!D106,"")</f>
        <v>100079</v>
      </c>
      <c r="Q20" s="14">
        <f>IF($L$1=1,rawdata!E106,"")</f>
        <v>105253</v>
      </c>
      <c r="R20" s="14">
        <f>IF($L$1=1,rawdata!F106,"")</f>
        <v>5174</v>
      </c>
      <c r="S20" s="14">
        <f>IF($L$1=1,rawdata!G106,"")</f>
        <v>5.2</v>
      </c>
    </row>
    <row r="21" spans="2:19" ht="15" customHeight="1" x14ac:dyDescent="0.2">
      <c r="D21" s="48"/>
      <c r="E21" s="48"/>
      <c r="F21" s="49"/>
      <c r="G21" s="50"/>
    </row>
    <row r="22" spans="2:19" ht="71.25" customHeight="1" x14ac:dyDescent="0.2">
      <c r="B22" s="101" t="str">
        <f>"*Includes Practice Plan, Network Affiliation, and Other Medical Service Organization Funds. Practice Plan revenues from affiliated hospitals are 
   reported with Hospital Purchased Services &amp; Support: $"&amp;M6&amp;" million total revenue (FY "&amp;REPyear1&amp;") and $"&amp;M7&amp;" million total revenue (FY "&amp;REPFY1&amp;").
†Includes Sales and Services, Royalties, Consulting, Interest Income, Gains (Losses) on Investments, Leases/Rentals, and Other Miscellaneous 
   Revenues."&amp;"
Totals may not sum due to rounding."</f>
        <v>*Includes Practice Plan, Network Affiliation, and Other Medical Service Organization Funds. Practice Plan revenues from affiliated hospitals are 
   reported with Hospital Purchased Services &amp; Support: $6,962 million total revenue (FY 2023) and $6,326 million total revenue (FY 2022).
†Includes Sales and Services, Royalties, Consulting, Interest Income, Gains (Losses) on Investments, Leases/Rentals, and Other Miscellaneous 
   Revenues.
Totals may not sum due to rounding.</v>
      </c>
      <c r="C22" s="101"/>
      <c r="D22" s="101"/>
      <c r="E22" s="101"/>
      <c r="F22" s="101"/>
      <c r="G22" s="101"/>
    </row>
    <row r="23" spans="2:19" ht="56.25" customHeight="1" x14ac:dyDescent="0.2">
      <c r="B23" s="101" t="str">
        <f>"There were "&amp;M8&amp;N8&amp;" in FY "&amp;REPyear1&amp;". "&amp;N9&amp;" 
In order to maintain the confidentiality of medical schools in breakouts with fewer than five medical schools, summary tables including public
   medical school and private "&amp;"medical school details only show data from medical education programs with full LCME accreditation. "</f>
        <v xml:space="preserve">There were 59 U.S. MD-granting private medical education programs with full LCME accreditation in FY 2023. This table includes historical data 
   from U.S. MD-granting private medical education programs prior to their receiving full LCME accreditation in FY 2023. 
In order to maintain the confidentiality of medical schools in breakouts with fewer than five medical schools, summary tables including public
   medical school and private medical school details only show data from medical education programs with full LCME accreditation. </v>
      </c>
      <c r="C23" s="101"/>
      <c r="D23" s="101"/>
      <c r="E23" s="101"/>
      <c r="F23" s="101"/>
      <c r="G23" s="101"/>
    </row>
    <row r="24" spans="2:19" x14ac:dyDescent="0.2">
      <c r="B24" s="24"/>
      <c r="C24" s="24"/>
      <c r="D24" s="44"/>
      <c r="E24" s="45"/>
      <c r="G24" s="51"/>
    </row>
    <row r="25" spans="2:19" x14ac:dyDescent="0.2">
      <c r="B25" s="98" t="str">
        <f>"Source: "&amp;ReportSource&amp;" Prepared by the AAMC "&amp;ReportDate&amp;UpdatedDate</f>
        <v>Source: LCME Part I-A Annual Medical School Financial Questionnaire (AFQ), FY 2023. Prepared by the AAMC June 2024.</v>
      </c>
      <c r="C25" s="98"/>
      <c r="D25" s="98"/>
      <c r="E25" s="98"/>
      <c r="F25" s="98"/>
      <c r="G25" s="64"/>
      <c r="H25" s="64"/>
      <c r="I25" s="64"/>
      <c r="J25" s="64"/>
    </row>
    <row r="26" spans="2:19" x14ac:dyDescent="0.2">
      <c r="B26" s="98" t="s">
        <v>103</v>
      </c>
      <c r="C26" s="98"/>
      <c r="D26" s="64"/>
      <c r="E26" s="64"/>
      <c r="F26" s="64"/>
      <c r="G26" s="64"/>
    </row>
    <row r="27" spans="2:19" x14ac:dyDescent="0.2">
      <c r="B27" s="98" t="str">
        <f>Copyright</f>
        <v>©2024 Association of American Medical Colleges. All rights reserved.</v>
      </c>
      <c r="C27" s="98"/>
      <c r="D27" s="98"/>
      <c r="E27" s="64"/>
      <c r="F27" s="64"/>
      <c r="G27" s="64"/>
    </row>
    <row r="28" spans="2:19" x14ac:dyDescent="0.2"/>
    <row r="29" spans="2:19" x14ac:dyDescent="0.2"/>
    <row r="30" spans="2:19" x14ac:dyDescent="0.2"/>
  </sheetData>
  <sheetProtection algorithmName="SHA-512" hashValue="/ewRsNlmuIS00gne0x/nCokEhAerxVh9iOHXNWvFZs8jAoIxj25F4AazvF0GejkaJkhSa0VKErrAkJlZgWbaOA==" saltValue="5YI65THrNtVPD4ucxgrVeA==" spinCount="100000" sheet="1" objects="1" scenarios="1"/>
  <mergeCells count="25">
    <mergeCell ref="B10:C10"/>
    <mergeCell ref="B11:C11"/>
    <mergeCell ref="B12:C12"/>
    <mergeCell ref="B13:C13"/>
    <mergeCell ref="C1:G1"/>
    <mergeCell ref="C2:G2"/>
    <mergeCell ref="A1:B2"/>
    <mergeCell ref="B5:C5"/>
    <mergeCell ref="B6:C6"/>
    <mergeCell ref="B7:C7"/>
    <mergeCell ref="B8:C8"/>
    <mergeCell ref="B9:C9"/>
    <mergeCell ref="B4:G4"/>
    <mergeCell ref="B14:C14"/>
    <mergeCell ref="B15:C15"/>
    <mergeCell ref="B19:C19"/>
    <mergeCell ref="B20:C20"/>
    <mergeCell ref="B18:C18"/>
    <mergeCell ref="B16:C16"/>
    <mergeCell ref="B17:C17"/>
    <mergeCell ref="B27:D27"/>
    <mergeCell ref="B26:C26"/>
    <mergeCell ref="B25:F25"/>
    <mergeCell ref="B22:G22"/>
    <mergeCell ref="B23:G23"/>
  </mergeCells>
  <conditionalFormatting sqref="B6:G19">
    <cfRule type="expression" dxfId="7" priority="3">
      <formula>MOD(ROW(),2)=0</formula>
    </cfRule>
  </conditionalFormatting>
  <conditionalFormatting sqref="D5:G19">
    <cfRule type="expression" dxfId="6" priority="2">
      <formula>MOD(COLUMN(),2)=0</formula>
    </cfRule>
  </conditionalFormatting>
  <hyperlinks>
    <hyperlink ref="B26:C26" r:id="rId1" display="Contact: AFQ@aamc.org" xr:uid="{F552C8CE-1E7F-4666-81AD-8DC2D0751166}"/>
  </hyperlinks>
  <printOptions horizontalCentered="1"/>
  <pageMargins left="0.75" right="0.75" top="1" bottom="1" header="0.5" footer="0.5"/>
  <pageSetup scale="86" orientation="landscape" r:id="rId2"/>
  <headerFooter alignWithMargins="0"/>
  <ignoredErrors>
    <ignoredError sqref="B4" unlockedFormula="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72</vt:i4>
      </vt:variant>
    </vt:vector>
  </HeadingPairs>
  <TitlesOfParts>
    <vt:vector size="80" baseType="lpstr">
      <vt:lpstr>1</vt:lpstr>
      <vt:lpstr>2</vt:lpstr>
      <vt:lpstr>3</vt:lpstr>
      <vt:lpstr>4</vt:lpstr>
      <vt:lpstr>5</vt:lpstr>
      <vt:lpstr>6</vt:lpstr>
      <vt:lpstr>7</vt:lpstr>
      <vt:lpstr>8</vt:lpstr>
      <vt:lpstr>AccredType</vt:lpstr>
      <vt:lpstr>ContactEmail</vt:lpstr>
      <vt:lpstr>ContactName</vt:lpstr>
      <vt:lpstr>ContactTitle</vt:lpstr>
      <vt:lpstr>Copyright</vt:lpstr>
      <vt:lpstr>FYcur_N_all_note</vt:lpstr>
      <vt:lpstr>FYcur_N_full_note</vt:lpstr>
      <vt:lpstr>FYcur_N_full_pri_note</vt:lpstr>
      <vt:lpstr>FYcur_N_full_pub_note</vt:lpstr>
      <vt:lpstr>FYprev_N_all_note</vt:lpstr>
      <vt:lpstr>FYprev_N_full_note</vt:lpstr>
      <vt:lpstr>FYprev_N_full_pri_note</vt:lpstr>
      <vt:lpstr>FYprev_N_full_pub_note</vt:lpstr>
      <vt:lpstr>FYprior_N_all_note</vt:lpstr>
      <vt:lpstr>FYprior_N_full_note</vt:lpstr>
      <vt:lpstr>FYprior_N_full_pri_note</vt:lpstr>
      <vt:lpstr>FYprior_N_full_pub_note</vt:lpstr>
      <vt:lpstr>MainDIR</vt:lpstr>
      <vt:lpstr>N_all_note</vt:lpstr>
      <vt:lpstr>N_full_note</vt:lpstr>
      <vt:lpstr>N_full_pri_note</vt:lpstr>
      <vt:lpstr>N_full_pub_note</vt:lpstr>
      <vt:lpstr>OutputFolder</vt:lpstr>
      <vt:lpstr>pri_N_full_note</vt:lpstr>
      <vt:lpstr>'1'!Print_Area</vt:lpstr>
      <vt:lpstr>'2'!Print_Area</vt:lpstr>
      <vt:lpstr>'3'!Print_Area</vt:lpstr>
      <vt:lpstr>'8'!Print_Area</vt:lpstr>
      <vt:lpstr>pub_N_full_note</vt:lpstr>
      <vt:lpstr>REPfilename</vt:lpstr>
      <vt:lpstr>REPfilename1</vt:lpstr>
      <vt:lpstr>REPFY1</vt:lpstr>
      <vt:lpstr>REPFY2</vt:lpstr>
      <vt:lpstr>ReportDate</vt:lpstr>
      <vt:lpstr>ReportSource</vt:lpstr>
      <vt:lpstr>REPyear</vt:lpstr>
      <vt:lpstr>REPyear1</vt:lpstr>
      <vt:lpstr>tab1_txt1_note</vt:lpstr>
      <vt:lpstr>tab1_txt2_note</vt:lpstr>
      <vt:lpstr>tab1_txt3_note</vt:lpstr>
      <vt:lpstr>tab1a_txt1_note</vt:lpstr>
      <vt:lpstr>tab1a_txt2_note</vt:lpstr>
      <vt:lpstr>tab1a_txt3_note</vt:lpstr>
      <vt:lpstr>tab2_txt1_note</vt:lpstr>
      <vt:lpstr>tab2_txt2_note</vt:lpstr>
      <vt:lpstr>tab3_txt1_note</vt:lpstr>
      <vt:lpstr>tab3_txt2_note</vt:lpstr>
      <vt:lpstr>tab3a_txt1_note</vt:lpstr>
      <vt:lpstr>tab3a_txt2_note</vt:lpstr>
      <vt:lpstr>tab4_txt1_note</vt:lpstr>
      <vt:lpstr>tab4_txt2_note</vt:lpstr>
      <vt:lpstr>tab5_txt1_note</vt:lpstr>
      <vt:lpstr>tab5_txt2_note</vt:lpstr>
      <vt:lpstr>tab6_txt1_note</vt:lpstr>
      <vt:lpstr>tab6_txt2_note</vt:lpstr>
      <vt:lpstr>tab6_txt3_note</vt:lpstr>
      <vt:lpstr>tab6a_txt1_note</vt:lpstr>
      <vt:lpstr>tab6a_txt2_note</vt:lpstr>
      <vt:lpstr>tab6a_txt3_note</vt:lpstr>
      <vt:lpstr>tab7_txt1_note</vt:lpstr>
      <vt:lpstr>tab7_txt2_note</vt:lpstr>
      <vt:lpstr>tab7_txt3_note</vt:lpstr>
      <vt:lpstr>tab8_txt1_note</vt:lpstr>
      <vt:lpstr>tab8_txt2_note</vt:lpstr>
      <vt:lpstr>tab8_txt3_note</vt:lpstr>
      <vt:lpstr>TRIG_CreateHTMLs</vt:lpstr>
      <vt:lpstr>TRIG_MakeReport</vt:lpstr>
      <vt:lpstr>TRIG_RefreshData</vt:lpstr>
      <vt:lpstr>TRIG_RefreshKeywords</vt:lpstr>
      <vt:lpstr>TRIG_UpdateData</vt:lpstr>
      <vt:lpstr>TRIG_UpdateKeywords</vt:lpstr>
      <vt:lpstr>UpdatedDate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Tung</dc:creator>
  <cp:lastModifiedBy>Diana Tung</cp:lastModifiedBy>
  <dcterms:created xsi:type="dcterms:W3CDTF">2021-04-08T14:18:25Z</dcterms:created>
  <dcterms:modified xsi:type="dcterms:W3CDTF">2024-06-06T15:35:09Z</dcterms:modified>
</cp:coreProperties>
</file>